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1.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2.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3.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4.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15.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6.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17.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B811850F-A29A-4D83-B048-B68A248086FB}" xr6:coauthVersionLast="47" xr6:coauthVersionMax="47" xr10:uidLastSave="{00000000-0000-0000-0000-000000000000}"/>
  <bookViews>
    <workbookView xWindow="-110" yWindow="-110" windowWidth="19420" windowHeight="10420" activeTab="2" xr2:uid="{F8847454-C4E9-46E7-83A1-F3C4DDF18E35}"/>
  </bookViews>
  <sheets>
    <sheet name="Requirement" sheetId="1" r:id="rId1"/>
    <sheet name="PHP Requirement" sheetId="17" r:id="rId2"/>
    <sheet name="NPV Modelling" sheetId="15" r:id="rId3"/>
    <sheet name="FINAL NPV, IRR, Payback" sheetId="25" r:id="rId4"/>
    <sheet name="USDPHP Forecasting" sheetId="11" r:id="rId5"/>
    <sheet name="Financing" sheetId="6" r:id="rId6"/>
    <sheet name="RISK" sheetId="26" r:id="rId7"/>
    <sheet name="Snack vs Baked Goods industry" sheetId="2" r:id="rId8"/>
    <sheet name="Savoury snacks" sheetId="20" r:id="rId9"/>
    <sheet name="Sweet biscuit" sheetId="4" r:id="rId10"/>
    <sheet name="Biscuit share" sheetId="19" r:id="rId11"/>
    <sheet name="Mooncake" sheetId="18" r:id="rId12"/>
    <sheet name="Milk price" sheetId="23" r:id="rId13"/>
    <sheet name="Sugar price" sheetId="22" r:id="rId14"/>
    <sheet name="Wheat price" sheetId="21" r:id="rId15"/>
    <sheet name="Country risk" sheetId="5" r:id="rId16"/>
    <sheet name="Graph" sheetId="24" r:id="rId17"/>
    <sheet name="Raw" sheetId="16" r:id="rId18"/>
    <sheet name="NPV analysis" sheetId="14" r:id="rId19"/>
    <sheet name="IFE raw" sheetId="8" r:id="rId20"/>
    <sheet name="Sheet2" sheetId="13" r:id="rId21"/>
    <sheet name="IFE forecasting" sheetId="10" r:id="rId22"/>
    <sheet name="Sheet1" sheetId="12" r:id="rId23"/>
    <sheet name="raw forecast" sheetId="9" r:id="rId24"/>
    <sheet name="IFE" sheetId="7" r:id="rId25"/>
  </sheets>
  <externalReferences>
    <externalReference r:id="rId26"/>
    <externalReference r:id="rId27"/>
    <externalReference r:id="rId28"/>
  </externalReferences>
  <definedNames>
    <definedName name="_xlnm._FilterDatabase" localSheetId="14" hidden="1">'Wheat price'!$A$16:$B$1746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3" i="11" l="1"/>
  <c r="N50" i="11"/>
  <c r="H50" i="11"/>
  <c r="R4" i="11"/>
  <c r="S4" i="11"/>
  <c r="R5" i="1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R19" i="1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G16" i="6"/>
  <c r="G32" i="6"/>
  <c r="G33" i="6"/>
  <c r="E10" i="26"/>
  <c r="D10" i="26"/>
  <c r="J16" i="26"/>
  <c r="J15" i="26"/>
  <c r="G63" i="25"/>
  <c r="G69" i="25" s="1"/>
  <c r="D30" i="25" s="1"/>
  <c r="P12" i="25"/>
  <c r="S28" i="25"/>
  <c r="P13" i="25"/>
  <c r="S23" i="25"/>
  <c r="S24" i="25"/>
  <c r="R34" i="11" l="1"/>
  <c r="S34" i="11"/>
  <c r="S22" i="25"/>
  <c r="G64" i="25"/>
  <c r="G65" i="25" s="1"/>
  <c r="G66" i="25" s="1"/>
  <c r="G67" i="25" s="1"/>
  <c r="G68" i="25" s="1"/>
  <c r="X4" i="15" l="1"/>
  <c r="X9" i="15" s="1"/>
  <c r="X14" i="15" s="1"/>
  <c r="X19" i="15" s="1"/>
  <c r="W4" i="15"/>
  <c r="W9" i="15" s="1"/>
  <c r="W14" i="15" s="1"/>
  <c r="W19" i="15" s="1"/>
  <c r="V4" i="15"/>
  <c r="V9" i="15" s="1"/>
  <c r="V14" i="15" s="1"/>
  <c r="V19" i="15" s="1"/>
  <c r="U4" i="15"/>
  <c r="U9" i="15" s="1"/>
  <c r="U14" i="15" s="1"/>
  <c r="U19" i="15" s="1"/>
  <c r="T4" i="15"/>
  <c r="T9" i="15" s="1"/>
  <c r="T14" i="15" s="1"/>
  <c r="T19" i="15" s="1"/>
  <c r="S4" i="15"/>
  <c r="S9" i="15" s="1"/>
  <c r="S14" i="15" s="1"/>
  <c r="S19" i="15" s="1"/>
  <c r="R4" i="15"/>
  <c r="R9" i="15" s="1"/>
  <c r="R14" i="15" s="1"/>
  <c r="R19" i="15" s="1"/>
  <c r="D21" i="25"/>
  <c r="D19" i="25"/>
  <c r="M19" i="20" l="1"/>
  <c r="M20" i="20"/>
  <c r="M21" i="20"/>
  <c r="M22" i="20"/>
  <c r="M23" i="20"/>
  <c r="M24" i="20"/>
  <c r="M18" i="20"/>
  <c r="N18" i="20" s="1"/>
  <c r="O28" i="20" s="1"/>
  <c r="B47" i="15" s="1"/>
  <c r="C47" i="15" s="1"/>
  <c r="D47" i="15" s="1"/>
  <c r="E47" i="15" s="1"/>
  <c r="F47" i="15" s="1"/>
  <c r="G47" i="15" s="1"/>
  <c r="H47" i="15" s="1"/>
  <c r="I47" i="15" s="1"/>
  <c r="J47" i="15" s="1"/>
  <c r="K47" i="15" s="1"/>
  <c r="L47" i="15" s="1"/>
  <c r="M47" i="15" s="1"/>
  <c r="N47" i="15" s="1"/>
  <c r="O47" i="15" s="1"/>
  <c r="AA12" i="19"/>
  <c r="AA13" i="19"/>
  <c r="AA14" i="19"/>
  <c r="AA15" i="19"/>
  <c r="AA16" i="19"/>
  <c r="AA17" i="19"/>
  <c r="AA18" i="19"/>
  <c r="AA19" i="19"/>
  <c r="AA20" i="19"/>
  <c r="AA21" i="19"/>
  <c r="AA22" i="19"/>
  <c r="AA23" i="19"/>
  <c r="AA24" i="19"/>
  <c r="AA25" i="19"/>
  <c r="AA26" i="19"/>
  <c r="AA27" i="19"/>
  <c r="AA28" i="19"/>
  <c r="AA29" i="19"/>
  <c r="AA30" i="19"/>
  <c r="AA31" i="19"/>
  <c r="AA32" i="19"/>
  <c r="AA11" i="19"/>
  <c r="AB18" i="19" s="1"/>
  <c r="M33" i="19" s="1"/>
  <c r="B35" i="15" s="1"/>
  <c r="C35" i="15" s="1"/>
  <c r="D35" i="15" s="1"/>
  <c r="E35" i="15" s="1"/>
  <c r="F35" i="15" s="1"/>
  <c r="G35" i="15" s="1"/>
  <c r="H35" i="15" s="1"/>
  <c r="D23" i="25"/>
  <c r="D25" i="25" s="1"/>
  <c r="D114" i="25"/>
  <c r="D55" i="11"/>
  <c r="I29" i="15"/>
  <c r="R7" i="15" s="1"/>
  <c r="I17" i="15"/>
  <c r="R6" i="15" s="1"/>
  <c r="I5" i="15"/>
  <c r="B92" i="15"/>
  <c r="I92" i="15" s="1"/>
  <c r="J92" i="15" s="1"/>
  <c r="K92" i="15" s="1"/>
  <c r="L92" i="15" s="1"/>
  <c r="M92" i="15" s="1"/>
  <c r="N92" i="15" s="1"/>
  <c r="O92" i="15" s="1"/>
  <c r="B82" i="15"/>
  <c r="I82" i="15" s="1"/>
  <c r="J82" i="15" s="1"/>
  <c r="K82" i="15" s="1"/>
  <c r="L82" i="15" s="1"/>
  <c r="M82" i="15" s="1"/>
  <c r="N82" i="15" s="1"/>
  <c r="O82" i="15" s="1"/>
  <c r="B72" i="15"/>
  <c r="I72" i="15" s="1"/>
  <c r="J72" i="15" s="1"/>
  <c r="K72" i="15" s="1"/>
  <c r="L72" i="15" s="1"/>
  <c r="M72" i="15" s="1"/>
  <c r="N72" i="15" s="1"/>
  <c r="O72" i="15" s="1"/>
  <c r="B62" i="15"/>
  <c r="I62" i="15" s="1"/>
  <c r="H61" i="15"/>
  <c r="H71" i="15" s="1"/>
  <c r="G61" i="15"/>
  <c r="G71" i="15" s="1"/>
  <c r="F61" i="15"/>
  <c r="E61" i="15"/>
  <c r="D61" i="15"/>
  <c r="D71" i="15" s="1"/>
  <c r="C61" i="15"/>
  <c r="C71" i="15" s="1"/>
  <c r="C91" i="15" s="1"/>
  <c r="B61" i="15"/>
  <c r="B81" i="15" s="1"/>
  <c r="B60" i="15"/>
  <c r="B80" i="15" s="1"/>
  <c r="H59" i="15"/>
  <c r="G59" i="15"/>
  <c r="G69" i="15" s="1"/>
  <c r="F59" i="15"/>
  <c r="F79" i="15" s="1"/>
  <c r="E59" i="15"/>
  <c r="D59" i="15"/>
  <c r="D79" i="15" s="1"/>
  <c r="C59" i="15"/>
  <c r="C79" i="15" s="1"/>
  <c r="B59" i="15"/>
  <c r="B69" i="15" s="1"/>
  <c r="H57" i="15"/>
  <c r="H77" i="15" s="1"/>
  <c r="G57" i="15"/>
  <c r="G77" i="15" s="1"/>
  <c r="F57" i="15"/>
  <c r="F67" i="15" s="1"/>
  <c r="E57" i="15"/>
  <c r="E67" i="15" s="1"/>
  <c r="D57" i="15"/>
  <c r="D67" i="15" s="1"/>
  <c r="C57" i="15"/>
  <c r="C67" i="15" s="1"/>
  <c r="B57" i="15"/>
  <c r="B67" i="15" s="1"/>
  <c r="H51" i="15"/>
  <c r="G51" i="15"/>
  <c r="F51" i="15"/>
  <c r="E51" i="15"/>
  <c r="D51" i="15"/>
  <c r="C51" i="15"/>
  <c r="H49" i="15"/>
  <c r="G49" i="15"/>
  <c r="F49" i="15"/>
  <c r="E49" i="15"/>
  <c r="D49" i="15"/>
  <c r="C49" i="15"/>
  <c r="B49" i="15"/>
  <c r="G46" i="15"/>
  <c r="F46" i="15"/>
  <c r="E46" i="15"/>
  <c r="D46" i="15"/>
  <c r="C46" i="15"/>
  <c r="H44" i="15"/>
  <c r="G44" i="15"/>
  <c r="F44" i="15"/>
  <c r="E44" i="15"/>
  <c r="D44" i="15"/>
  <c r="C44" i="15"/>
  <c r="I41" i="15"/>
  <c r="R8" i="15" s="1"/>
  <c r="H39" i="15"/>
  <c r="G39" i="15"/>
  <c r="F39" i="15"/>
  <c r="E39" i="15"/>
  <c r="D39" i="15"/>
  <c r="C39" i="15"/>
  <c r="B39" i="15" s="1"/>
  <c r="H37" i="15"/>
  <c r="G37" i="15"/>
  <c r="F37" i="15"/>
  <c r="E37" i="15"/>
  <c r="D37" i="15"/>
  <c r="C37" i="15"/>
  <c r="B37" i="15"/>
  <c r="G34" i="15"/>
  <c r="F34" i="15"/>
  <c r="E34" i="15"/>
  <c r="D34" i="15"/>
  <c r="C34" i="15"/>
  <c r="H32" i="15"/>
  <c r="G32" i="15"/>
  <c r="F32" i="15"/>
  <c r="E32" i="15"/>
  <c r="D32" i="15"/>
  <c r="C32" i="15"/>
  <c r="H27" i="15"/>
  <c r="G27" i="15"/>
  <c r="F27" i="15"/>
  <c r="E27" i="15"/>
  <c r="D27" i="15"/>
  <c r="C27" i="15"/>
  <c r="B27" i="15" s="1"/>
  <c r="H25" i="15"/>
  <c r="G25" i="15"/>
  <c r="F25" i="15"/>
  <c r="E25" i="15"/>
  <c r="D25" i="15"/>
  <c r="C25" i="15"/>
  <c r="B25" i="15"/>
  <c r="I23" i="15"/>
  <c r="J23" i="15" s="1"/>
  <c r="K23" i="15" s="1"/>
  <c r="L23" i="15" s="1"/>
  <c r="M23" i="15" s="1"/>
  <c r="N23" i="15" s="1"/>
  <c r="O23" i="15" s="1"/>
  <c r="G22" i="15"/>
  <c r="F22" i="15"/>
  <c r="E22" i="15"/>
  <c r="D22" i="15"/>
  <c r="C22" i="15"/>
  <c r="G20" i="15"/>
  <c r="F20" i="15"/>
  <c r="E20" i="15"/>
  <c r="D20" i="15"/>
  <c r="C20" i="15"/>
  <c r="H15" i="15"/>
  <c r="G15" i="15"/>
  <c r="F15" i="15"/>
  <c r="E15" i="15"/>
  <c r="D15" i="15"/>
  <c r="C15" i="15"/>
  <c r="H13" i="15"/>
  <c r="G13" i="15"/>
  <c r="F13" i="15"/>
  <c r="E13" i="15"/>
  <c r="D13" i="15"/>
  <c r="C13" i="15"/>
  <c r="B13" i="15"/>
  <c r="I11" i="15"/>
  <c r="J11" i="15" s="1"/>
  <c r="G10" i="15"/>
  <c r="F10" i="15"/>
  <c r="E10" i="15"/>
  <c r="D10" i="15"/>
  <c r="C10" i="15"/>
  <c r="G8" i="15"/>
  <c r="F8" i="15"/>
  <c r="E8" i="15"/>
  <c r="D8" i="15"/>
  <c r="C8" i="15"/>
  <c r="B44" i="15" l="1"/>
  <c r="I44" i="15" s="1"/>
  <c r="H8" i="15"/>
  <c r="J8" i="15" s="1"/>
  <c r="E79" i="15"/>
  <c r="E69" i="15"/>
  <c r="E71" i="15"/>
  <c r="E62" i="15"/>
  <c r="I35" i="15"/>
  <c r="K35" i="15" s="1"/>
  <c r="M35" i="15" s="1"/>
  <c r="O35" i="15" s="1"/>
  <c r="J35" i="15"/>
  <c r="L35" i="15" s="1"/>
  <c r="N35" i="15" s="1"/>
  <c r="H46" i="15"/>
  <c r="I46" i="15" s="1"/>
  <c r="I42" i="15" s="1"/>
  <c r="F62" i="15"/>
  <c r="K46" i="15"/>
  <c r="D62" i="15"/>
  <c r="H20" i="15"/>
  <c r="A46" i="15"/>
  <c r="C68" i="15"/>
  <c r="B15" i="15"/>
  <c r="I13" i="15" s="1"/>
  <c r="J13" i="15" s="1"/>
  <c r="B32" i="15"/>
  <c r="I32" i="15" s="1"/>
  <c r="G60" i="15"/>
  <c r="B70" i="15"/>
  <c r="I70" i="15" s="1"/>
  <c r="J70" i="15" s="1"/>
  <c r="K70" i="15" s="1"/>
  <c r="L70" i="15" s="1"/>
  <c r="M70" i="15" s="1"/>
  <c r="N70" i="15" s="1"/>
  <c r="O70" i="15" s="1"/>
  <c r="A22" i="15"/>
  <c r="H60" i="15"/>
  <c r="G62" i="15"/>
  <c r="I60" i="15"/>
  <c r="H62" i="15"/>
  <c r="G79" i="15"/>
  <c r="G89" i="15" s="1"/>
  <c r="H79" i="15"/>
  <c r="H89" i="15" s="1"/>
  <c r="E56" i="25" s="1"/>
  <c r="H22" i="15"/>
  <c r="I22" i="15" s="1"/>
  <c r="D58" i="15"/>
  <c r="C62" i="15"/>
  <c r="G67" i="15"/>
  <c r="C81" i="15"/>
  <c r="C82" i="15" s="1"/>
  <c r="L46" i="15"/>
  <c r="A34" i="15"/>
  <c r="B51" i="15"/>
  <c r="H67" i="15"/>
  <c r="D81" i="15"/>
  <c r="C58" i="15"/>
  <c r="C69" i="15"/>
  <c r="C70" i="15" s="1"/>
  <c r="D69" i="15"/>
  <c r="J32" i="15"/>
  <c r="J62" i="15"/>
  <c r="K62" i="15" s="1"/>
  <c r="L62" i="15" s="1"/>
  <c r="M62" i="15" s="1"/>
  <c r="N62" i="15" s="1"/>
  <c r="O62" i="15" s="1"/>
  <c r="I61" i="15"/>
  <c r="F68" i="15"/>
  <c r="G68" i="15"/>
  <c r="B90" i="15"/>
  <c r="I90" i="15" s="1"/>
  <c r="J90" i="15" s="1"/>
  <c r="K90" i="15" s="1"/>
  <c r="L90" i="15" s="1"/>
  <c r="M90" i="15" s="1"/>
  <c r="N90" i="15" s="1"/>
  <c r="O90" i="15" s="1"/>
  <c r="I80" i="15"/>
  <c r="J80" i="15" s="1"/>
  <c r="K80" i="15" s="1"/>
  <c r="L80" i="15" s="1"/>
  <c r="M80" i="15" s="1"/>
  <c r="N80" i="15" s="1"/>
  <c r="O80" i="15" s="1"/>
  <c r="G87" i="15"/>
  <c r="J44" i="15"/>
  <c r="F89" i="15"/>
  <c r="F80" i="15"/>
  <c r="E68" i="15"/>
  <c r="H78" i="15"/>
  <c r="H87" i="15"/>
  <c r="E55" i="25" s="1"/>
  <c r="D68" i="15"/>
  <c r="D91" i="15"/>
  <c r="D92" i="15" s="1"/>
  <c r="D72" i="15"/>
  <c r="I37" i="15"/>
  <c r="J37" i="15" s="1"/>
  <c r="C89" i="15"/>
  <c r="E91" i="15"/>
  <c r="E72" i="15"/>
  <c r="H72" i="15"/>
  <c r="I71" i="15"/>
  <c r="J71" i="15" s="1"/>
  <c r="K71" i="15" s="1"/>
  <c r="L71" i="15" s="1"/>
  <c r="M71" i="15" s="1"/>
  <c r="N71" i="15" s="1"/>
  <c r="O71" i="15" s="1"/>
  <c r="H91" i="15"/>
  <c r="E57" i="25" s="1"/>
  <c r="K11" i="15"/>
  <c r="K8" i="15"/>
  <c r="L8" i="15" s="1"/>
  <c r="M8" i="15" s="1"/>
  <c r="N8" i="15" s="1"/>
  <c r="O8" i="15" s="1"/>
  <c r="D80" i="15"/>
  <c r="D89" i="15"/>
  <c r="O20" i="15"/>
  <c r="M20" i="15"/>
  <c r="N20" i="15"/>
  <c r="I20" i="15"/>
  <c r="I18" i="15" s="1"/>
  <c r="L20" i="15"/>
  <c r="K20" i="15"/>
  <c r="J20" i="15"/>
  <c r="I49" i="15"/>
  <c r="J49" i="15" s="1"/>
  <c r="E80" i="15"/>
  <c r="E89" i="15"/>
  <c r="G91" i="15"/>
  <c r="M46" i="15"/>
  <c r="H34" i="15"/>
  <c r="I34" i="15" s="1"/>
  <c r="I30" i="15" s="1"/>
  <c r="H10" i="15"/>
  <c r="N46" i="15"/>
  <c r="E58" i="15"/>
  <c r="F69" i="15"/>
  <c r="F70" i="15" s="1"/>
  <c r="B71" i="15"/>
  <c r="B91" i="15" s="1"/>
  <c r="C92" i="15" s="1"/>
  <c r="G80" i="15"/>
  <c r="E81" i="15"/>
  <c r="I10" i="15"/>
  <c r="I6" i="15" s="1"/>
  <c r="J34" i="15"/>
  <c r="O46" i="15"/>
  <c r="F58" i="15"/>
  <c r="B77" i="15"/>
  <c r="B87" i="15" s="1"/>
  <c r="H80" i="15"/>
  <c r="F81" i="15"/>
  <c r="K22" i="15"/>
  <c r="K34" i="15"/>
  <c r="G58" i="15"/>
  <c r="C60" i="15"/>
  <c r="H69" i="15"/>
  <c r="C77" i="15"/>
  <c r="G81" i="15"/>
  <c r="J10" i="15"/>
  <c r="K10" i="15"/>
  <c r="L22" i="15"/>
  <c r="L34" i="15"/>
  <c r="H58" i="15"/>
  <c r="D60" i="15"/>
  <c r="D77" i="15"/>
  <c r="H81" i="15"/>
  <c r="J22" i="15"/>
  <c r="L10" i="15"/>
  <c r="M22" i="15"/>
  <c r="M34" i="15"/>
  <c r="E60" i="15"/>
  <c r="F71" i="15"/>
  <c r="G72" i="15" s="1"/>
  <c r="E77" i="15"/>
  <c r="N34" i="15"/>
  <c r="F60" i="15"/>
  <c r="F77" i="15"/>
  <c r="B79" i="15"/>
  <c r="B89" i="15" s="1"/>
  <c r="M10" i="15"/>
  <c r="N22" i="15"/>
  <c r="A10" i="15"/>
  <c r="N10" i="15"/>
  <c r="O22" i="15"/>
  <c r="O34" i="15"/>
  <c r="O10" i="15"/>
  <c r="J46" i="15"/>
  <c r="D70" i="15" l="1"/>
  <c r="L18" i="15"/>
  <c r="N18" i="15"/>
  <c r="M18" i="15"/>
  <c r="F90" i="15"/>
  <c r="I89" i="15"/>
  <c r="J89" i="15" s="1"/>
  <c r="K89" i="15" s="1"/>
  <c r="L89" i="15" s="1"/>
  <c r="M89" i="15" s="1"/>
  <c r="N89" i="15" s="1"/>
  <c r="O89" i="15" s="1"/>
  <c r="J60" i="15"/>
  <c r="K60" i="15" s="1"/>
  <c r="L60" i="15" s="1"/>
  <c r="M60" i="15" s="1"/>
  <c r="N60" i="15" s="1"/>
  <c r="O60" i="15" s="1"/>
  <c r="I59" i="15"/>
  <c r="J59" i="15" s="1"/>
  <c r="K59" i="15" s="1"/>
  <c r="L59" i="15" s="1"/>
  <c r="M59" i="15" s="1"/>
  <c r="N59" i="15" s="1"/>
  <c r="O59" i="15" s="1"/>
  <c r="K13" i="15"/>
  <c r="L13" i="15" s="1"/>
  <c r="M13" i="15" s="1"/>
  <c r="N13" i="15" s="1"/>
  <c r="O13" i="15" s="1"/>
  <c r="H90" i="15"/>
  <c r="E82" i="15"/>
  <c r="J61" i="15"/>
  <c r="K61" i="15" s="1"/>
  <c r="L61" i="15" s="1"/>
  <c r="M61" i="15" s="1"/>
  <c r="N61" i="15" s="1"/>
  <c r="O61" i="15" s="1"/>
  <c r="O18" i="15"/>
  <c r="E70" i="15"/>
  <c r="B58" i="15"/>
  <c r="G82" i="15"/>
  <c r="D90" i="15"/>
  <c r="E90" i="15"/>
  <c r="D82" i="15"/>
  <c r="C72" i="15"/>
  <c r="I25" i="15"/>
  <c r="J25" i="15" s="1"/>
  <c r="H68" i="15"/>
  <c r="B68" i="15" s="1"/>
  <c r="K18" i="15"/>
  <c r="J58" i="15"/>
  <c r="I58" i="15"/>
  <c r="J18" i="15"/>
  <c r="J17" i="15" s="1"/>
  <c r="S6" i="15" s="1"/>
  <c r="K37" i="15"/>
  <c r="L37" i="15" s="1"/>
  <c r="M37" i="15" s="1"/>
  <c r="N37" i="15" s="1"/>
  <c r="O37" i="15" s="1"/>
  <c r="K49" i="15"/>
  <c r="L49" i="15" s="1"/>
  <c r="M49" i="15" s="1"/>
  <c r="N49" i="15" s="1"/>
  <c r="O49" i="15" s="1"/>
  <c r="J6" i="15"/>
  <c r="J5" i="15" s="1"/>
  <c r="K6" i="15"/>
  <c r="L11" i="15"/>
  <c r="H92" i="15"/>
  <c r="I91" i="15"/>
  <c r="J91" i="15" s="1"/>
  <c r="K91" i="15" s="1"/>
  <c r="L91" i="15" s="1"/>
  <c r="M91" i="15" s="1"/>
  <c r="N91" i="15" s="1"/>
  <c r="O91" i="15" s="1"/>
  <c r="C78" i="15"/>
  <c r="C87" i="15"/>
  <c r="C88" i="15" s="1"/>
  <c r="K44" i="15"/>
  <c r="J42" i="15"/>
  <c r="J41" i="15" s="1"/>
  <c r="S8" i="15" s="1"/>
  <c r="H70" i="15"/>
  <c r="I69" i="15"/>
  <c r="J69" i="15" s="1"/>
  <c r="K69" i="15" s="1"/>
  <c r="L69" i="15" s="1"/>
  <c r="M69" i="15" s="1"/>
  <c r="N69" i="15" s="1"/>
  <c r="O69" i="15" s="1"/>
  <c r="E78" i="15"/>
  <c r="E87" i="15"/>
  <c r="H88" i="15"/>
  <c r="G90" i="15"/>
  <c r="J30" i="15"/>
  <c r="J29" i="15" s="1"/>
  <c r="S7" i="15" s="1"/>
  <c r="K32" i="15"/>
  <c r="D78" i="15"/>
  <c r="D87" i="15"/>
  <c r="F78" i="15"/>
  <c r="F87" i="15"/>
  <c r="I79" i="15"/>
  <c r="J79" i="15" s="1"/>
  <c r="K79" i="15" s="1"/>
  <c r="L79" i="15" s="1"/>
  <c r="M79" i="15" s="1"/>
  <c r="N79" i="15" s="1"/>
  <c r="O79" i="15" s="1"/>
  <c r="E92" i="15"/>
  <c r="C90" i="15"/>
  <c r="H82" i="15"/>
  <c r="I81" i="15"/>
  <c r="J81" i="15" s="1"/>
  <c r="K81" i="15" s="1"/>
  <c r="L81" i="15" s="1"/>
  <c r="M81" i="15" s="1"/>
  <c r="N81" i="15" s="1"/>
  <c r="O81" i="15" s="1"/>
  <c r="F72" i="15"/>
  <c r="F91" i="15"/>
  <c r="F92" i="15" s="1"/>
  <c r="F82" i="15"/>
  <c r="C80" i="15"/>
  <c r="G78" i="15"/>
  <c r="G70" i="15"/>
  <c r="F88" i="15" l="1"/>
  <c r="D88" i="15"/>
  <c r="G92" i="15"/>
  <c r="K58" i="15"/>
  <c r="K56" i="15" s="1"/>
  <c r="J56" i="15"/>
  <c r="J68" i="15"/>
  <c r="I68" i="15"/>
  <c r="I66" i="15" s="1"/>
  <c r="K25" i="15"/>
  <c r="L25" i="15" s="1"/>
  <c r="M25" i="15" s="1"/>
  <c r="N25" i="15" s="1"/>
  <c r="O25" i="15" s="1"/>
  <c r="K5" i="15"/>
  <c r="L6" i="15"/>
  <c r="M11" i="15"/>
  <c r="K17" i="15"/>
  <c r="I56" i="15"/>
  <c r="I57" i="15"/>
  <c r="J57" i="15" s="1"/>
  <c r="L44" i="15"/>
  <c r="K42" i="15"/>
  <c r="K41" i="15" s="1"/>
  <c r="T8" i="15" s="1"/>
  <c r="B78" i="15"/>
  <c r="I67" i="15"/>
  <c r="K30" i="15"/>
  <c r="K29" i="15" s="1"/>
  <c r="T7" i="15" s="1"/>
  <c r="L32" i="15"/>
  <c r="G88" i="15"/>
  <c r="E88" i="15"/>
  <c r="B88" i="15" s="1"/>
  <c r="K57" i="15" l="1"/>
  <c r="L17" i="15"/>
  <c r="U6" i="15" s="1"/>
  <c r="T6" i="15"/>
  <c r="K68" i="15"/>
  <c r="K66" i="15" s="1"/>
  <c r="J66" i="15"/>
  <c r="J67" i="15"/>
  <c r="K67" i="15" s="1"/>
  <c r="J88" i="15"/>
  <c r="I88" i="15"/>
  <c r="M44" i="15"/>
  <c r="L42" i="15"/>
  <c r="L41" i="15" s="1"/>
  <c r="U8" i="15" s="1"/>
  <c r="M32" i="15"/>
  <c r="L30" i="15"/>
  <c r="L29" i="15" s="1"/>
  <c r="U7" i="15" s="1"/>
  <c r="M6" i="15"/>
  <c r="N11" i="15"/>
  <c r="I78" i="15"/>
  <c r="J78" i="15"/>
  <c r="L5" i="15"/>
  <c r="L58" i="15"/>
  <c r="L56" i="15" s="1"/>
  <c r="L68" i="15"/>
  <c r="K78" i="15" l="1"/>
  <c r="K76" i="15" s="1"/>
  <c r="J76" i="15"/>
  <c r="J86" i="15"/>
  <c r="K88" i="15"/>
  <c r="K86" i="15" s="1"/>
  <c r="L57" i="15"/>
  <c r="M17" i="15"/>
  <c r="V6" i="15" s="1"/>
  <c r="M5" i="15"/>
  <c r="N32" i="15"/>
  <c r="M30" i="15"/>
  <c r="M29" i="15" s="1"/>
  <c r="V7" i="15" s="1"/>
  <c r="O11" i="15"/>
  <c r="O6" i="15" s="1"/>
  <c r="N6" i="15"/>
  <c r="M42" i="15"/>
  <c r="M41" i="15" s="1"/>
  <c r="V8" i="15" s="1"/>
  <c r="N44" i="15"/>
  <c r="I76" i="15"/>
  <c r="I77" i="15"/>
  <c r="J77" i="15" s="1"/>
  <c r="K77" i="15" s="1"/>
  <c r="I86" i="15"/>
  <c r="I87" i="15"/>
  <c r="J87" i="15" s="1"/>
  <c r="M68" i="15"/>
  <c r="L66" i="15"/>
  <c r="L67" i="15"/>
  <c r="M58" i="15"/>
  <c r="M67" i="15" l="1"/>
  <c r="L78" i="15"/>
  <c r="L77" i="15" s="1"/>
  <c r="N17" i="15"/>
  <c r="W6" i="15" s="1"/>
  <c r="N42" i="15"/>
  <c r="N41" i="15" s="1"/>
  <c r="W8" i="15" s="1"/>
  <c r="O44" i="15"/>
  <c r="O42" i="15" s="1"/>
  <c r="L88" i="15"/>
  <c r="N68" i="15"/>
  <c r="N67" i="15" s="1"/>
  <c r="M66" i="15"/>
  <c r="O32" i="15"/>
  <c r="O30" i="15" s="1"/>
  <c r="N30" i="15"/>
  <c r="N29" i="15" s="1"/>
  <c r="W7" i="15" s="1"/>
  <c r="N58" i="15"/>
  <c r="M56" i="15"/>
  <c r="K87" i="15"/>
  <c r="N5" i="15"/>
  <c r="M57" i="15"/>
  <c r="O29" i="15" l="1"/>
  <c r="O17" i="15"/>
  <c r="O68" i="15"/>
  <c r="O66" i="15" s="1"/>
  <c r="N66" i="15"/>
  <c r="L76" i="15"/>
  <c r="M78" i="15"/>
  <c r="M77" i="15" s="1"/>
  <c r="N57" i="15"/>
  <c r="L86" i="15"/>
  <c r="M88" i="15"/>
  <c r="O5" i="15"/>
  <c r="O41" i="15"/>
  <c r="N56" i="15"/>
  <c r="O58" i="15"/>
  <c r="O56" i="15" s="1"/>
  <c r="L87" i="15"/>
  <c r="X8" i="15" l="1"/>
  <c r="X6" i="15"/>
  <c r="X7" i="15"/>
  <c r="O67" i="15"/>
  <c r="O57" i="15"/>
  <c r="M86" i="15"/>
  <c r="N88" i="15"/>
  <c r="M87" i="15"/>
  <c r="M76" i="15"/>
  <c r="N78" i="15"/>
  <c r="N77" i="15" s="1"/>
  <c r="N86" i="15" l="1"/>
  <c r="O88" i="15"/>
  <c r="O86" i="15" s="1"/>
  <c r="N87" i="15"/>
  <c r="O87" i="15" s="1"/>
  <c r="O78" i="15"/>
  <c r="O76" i="15" s="1"/>
  <c r="N76" i="15"/>
  <c r="O77" i="15" l="1"/>
  <c r="D121" i="25" l="1"/>
  <c r="D124" i="25" s="1"/>
  <c r="D56" i="11"/>
  <c r="D57" i="11" s="1"/>
  <c r="C17" i="1"/>
  <c r="C16" i="1"/>
  <c r="F4" i="25"/>
  <c r="G4" i="25"/>
  <c r="H4" i="25"/>
  <c r="I4" i="25"/>
  <c r="J4" i="25"/>
  <c r="K4" i="25"/>
  <c r="E4" i="25"/>
  <c r="C20" i="1" l="1"/>
  <c r="C19" i="1"/>
  <c r="C21" i="1" s="1"/>
  <c r="C22" i="1" s="1"/>
  <c r="C18" i="1"/>
  <c r="AB34" i="15" l="1"/>
  <c r="AC32" i="15"/>
  <c r="U50" i="11"/>
  <c r="G50" i="11"/>
  <c r="P50" i="11"/>
  <c r="R50" i="11"/>
  <c r="S50" i="11"/>
  <c r="T50" i="11"/>
  <c r="F50" i="11"/>
  <c r="S4" i="24"/>
  <c r="S9" i="24" s="1"/>
  <c r="S14" i="24" s="1"/>
  <c r="S19" i="24" s="1"/>
  <c r="T4" i="24"/>
  <c r="T9" i="24" s="1"/>
  <c r="T14" i="24" s="1"/>
  <c r="T19" i="24" s="1"/>
  <c r="U4" i="24"/>
  <c r="U9" i="24" s="1"/>
  <c r="U14" i="24" s="1"/>
  <c r="U19" i="24" s="1"/>
  <c r="V4" i="24"/>
  <c r="V9" i="24" s="1"/>
  <c r="V14" i="24" s="1"/>
  <c r="V19" i="24" s="1"/>
  <c r="W4" i="24"/>
  <c r="W9" i="24" s="1"/>
  <c r="W14" i="24" s="1"/>
  <c r="W19" i="24" s="1"/>
  <c r="X4" i="24"/>
  <c r="X9" i="24" s="1"/>
  <c r="X14" i="24" s="1"/>
  <c r="X19" i="24" s="1"/>
  <c r="R4" i="24"/>
  <c r="R9" i="24" s="1"/>
  <c r="R14" i="24" s="1"/>
  <c r="R19" i="24" s="1"/>
  <c r="O443" i="24"/>
  <c r="N443" i="24"/>
  <c r="M443" i="24"/>
  <c r="L443" i="24"/>
  <c r="K443" i="24"/>
  <c r="J443" i="24"/>
  <c r="I443" i="24"/>
  <c r="H443" i="24"/>
  <c r="O442" i="24"/>
  <c r="N442" i="24"/>
  <c r="M442" i="24"/>
  <c r="L442" i="24"/>
  <c r="K442" i="24"/>
  <c r="J442" i="24"/>
  <c r="I442" i="24"/>
  <c r="H442" i="24"/>
  <c r="O441" i="24"/>
  <c r="N441" i="24"/>
  <c r="H441" i="24"/>
  <c r="M312" i="24"/>
  <c r="H310" i="24"/>
  <c r="M300" i="24"/>
  <c r="L295" i="24"/>
  <c r="M293" i="24"/>
  <c r="M291" i="24"/>
  <c r="O286" i="24"/>
  <c r="N286" i="24"/>
  <c r="M286" i="24"/>
  <c r="H276" i="24"/>
  <c r="M273" i="24"/>
  <c r="M272" i="24"/>
  <c r="N272" i="24" s="1"/>
  <c r="O272" i="24" s="1"/>
  <c r="M271" i="24"/>
  <c r="M270" i="24"/>
  <c r="N270" i="24" s="1"/>
  <c r="O270" i="24" s="1"/>
  <c r="M267" i="24"/>
  <c r="M266" i="24"/>
  <c r="N266" i="24" s="1"/>
  <c r="O266" i="24" s="1"/>
  <c r="K248" i="24"/>
  <c r="J248" i="24"/>
  <c r="I248" i="24"/>
  <c r="H248" i="24"/>
  <c r="L246" i="24"/>
  <c r="K246" i="24"/>
  <c r="J246" i="24"/>
  <c r="I246" i="24"/>
  <c r="H246" i="24"/>
  <c r="L236" i="24"/>
  <c r="K236" i="24"/>
  <c r="J236" i="24"/>
  <c r="I236" i="24"/>
  <c r="H236" i="24"/>
  <c r="H237" i="24" s="1"/>
  <c r="M237" i="24" s="1"/>
  <c r="L233" i="24"/>
  <c r="K233" i="24"/>
  <c r="J233" i="24"/>
  <c r="I233" i="24"/>
  <c r="H233" i="24"/>
  <c r="H234" i="24" s="1"/>
  <c r="M234" i="24" s="1"/>
  <c r="L230" i="24"/>
  <c r="K230" i="24"/>
  <c r="J230" i="24"/>
  <c r="I230" i="24"/>
  <c r="H230" i="24"/>
  <c r="H231" i="24" s="1"/>
  <c r="O228" i="24"/>
  <c r="N228" i="24"/>
  <c r="M228" i="24"/>
  <c r="L226" i="24"/>
  <c r="K226" i="24"/>
  <c r="J226" i="24"/>
  <c r="I226" i="24"/>
  <c r="L221" i="24"/>
  <c r="K221" i="24"/>
  <c r="J221" i="24"/>
  <c r="I221" i="24"/>
  <c r="L213" i="24"/>
  <c r="L259" i="24" s="1"/>
  <c r="K213" i="24"/>
  <c r="K259" i="24" s="1"/>
  <c r="J213" i="24"/>
  <c r="I213" i="24"/>
  <c r="H213" i="24"/>
  <c r="H259" i="24" s="1"/>
  <c r="L209" i="24"/>
  <c r="K209" i="24"/>
  <c r="J209" i="24"/>
  <c r="I209" i="24"/>
  <c r="H209" i="24"/>
  <c r="L205" i="24"/>
  <c r="K205" i="24"/>
  <c r="J205" i="24"/>
  <c r="I205" i="24"/>
  <c r="H205" i="24"/>
  <c r="L198" i="24"/>
  <c r="K202" i="24" s="1"/>
  <c r="K198" i="24"/>
  <c r="J202" i="24" s="1"/>
  <c r="J198" i="24"/>
  <c r="I198" i="24"/>
  <c r="I202" i="24" s="1"/>
  <c r="H198" i="24"/>
  <c r="H202" i="24" s="1"/>
  <c r="L195" i="24"/>
  <c r="K195" i="24"/>
  <c r="J195" i="24"/>
  <c r="I195" i="24"/>
  <c r="H195" i="24"/>
  <c r="L193" i="24"/>
  <c r="K193" i="24"/>
  <c r="J193" i="24"/>
  <c r="I193" i="24"/>
  <c r="H193" i="24"/>
  <c r="L192" i="24"/>
  <c r="K192" i="24"/>
  <c r="J192" i="24"/>
  <c r="I192" i="24"/>
  <c r="L190" i="24"/>
  <c r="M190" i="24" s="1"/>
  <c r="N190" i="24" s="1"/>
  <c r="K190" i="24"/>
  <c r="J190" i="24"/>
  <c r="I190" i="24"/>
  <c r="H190" i="24"/>
  <c r="L186" i="24"/>
  <c r="K186" i="24"/>
  <c r="J186" i="24"/>
  <c r="K187" i="24" s="1"/>
  <c r="I186" i="24"/>
  <c r="H186" i="24"/>
  <c r="M184" i="24"/>
  <c r="L184" i="24"/>
  <c r="K184" i="24"/>
  <c r="J184" i="24"/>
  <c r="O183" i="24"/>
  <c r="N183" i="24"/>
  <c r="N184" i="24" s="1"/>
  <c r="O181" i="24"/>
  <c r="N181" i="24"/>
  <c r="M181" i="24"/>
  <c r="M180" i="24" s="1"/>
  <c r="L179" i="24"/>
  <c r="K179" i="24"/>
  <c r="J179" i="24"/>
  <c r="I179" i="24"/>
  <c r="H179" i="24"/>
  <c r="H182" i="24" s="1"/>
  <c r="O182" i="24" s="1"/>
  <c r="AD173" i="24"/>
  <c r="AD174" i="24" s="1"/>
  <c r="M313" i="24" s="1"/>
  <c r="L162" i="24"/>
  <c r="K162" i="24"/>
  <c r="J162" i="24"/>
  <c r="I162" i="24"/>
  <c r="H162" i="24"/>
  <c r="H164" i="24" s="1"/>
  <c r="L159" i="24"/>
  <c r="K159" i="24"/>
  <c r="J159" i="24"/>
  <c r="I159" i="24"/>
  <c r="H159" i="24"/>
  <c r="H160" i="24" s="1"/>
  <c r="A158" i="24"/>
  <c r="L156" i="24"/>
  <c r="K156" i="24"/>
  <c r="J156" i="24"/>
  <c r="I156" i="24"/>
  <c r="L155" i="24"/>
  <c r="K155" i="24"/>
  <c r="J155" i="24"/>
  <c r="I155" i="24"/>
  <c r="L153" i="24"/>
  <c r="K153" i="24"/>
  <c r="J153" i="24"/>
  <c r="I153" i="24"/>
  <c r="J154" i="24" s="1"/>
  <c r="H153" i="24"/>
  <c r="H157" i="24" s="1"/>
  <c r="A152" i="24"/>
  <c r="L150" i="24"/>
  <c r="K150" i="24"/>
  <c r="J150" i="24"/>
  <c r="I150" i="24"/>
  <c r="L149" i="24"/>
  <c r="M149" i="24" s="1"/>
  <c r="K149" i="24"/>
  <c r="J149" i="24"/>
  <c r="I149" i="24"/>
  <c r="L146" i="24"/>
  <c r="K146" i="24"/>
  <c r="J146" i="24"/>
  <c r="I146" i="24"/>
  <c r="H146" i="24"/>
  <c r="H151" i="24" s="1"/>
  <c r="A145" i="24"/>
  <c r="H144" i="24"/>
  <c r="G144" i="24"/>
  <c r="F144" i="24"/>
  <c r="E144" i="24"/>
  <c r="D144" i="24"/>
  <c r="C144" i="24"/>
  <c r="H142" i="24"/>
  <c r="G142" i="24"/>
  <c r="F142" i="24"/>
  <c r="E142" i="24"/>
  <c r="D142" i="24"/>
  <c r="C142" i="24"/>
  <c r="B142" i="24"/>
  <c r="I141" i="24"/>
  <c r="G139" i="24"/>
  <c r="F139" i="24"/>
  <c r="E139" i="24"/>
  <c r="D139" i="24"/>
  <c r="C139" i="24"/>
  <c r="H137" i="24"/>
  <c r="G137" i="24"/>
  <c r="F137" i="24"/>
  <c r="E137" i="24"/>
  <c r="D137" i="24"/>
  <c r="C137" i="24"/>
  <c r="I134" i="24"/>
  <c r="H132" i="24"/>
  <c r="G132" i="24"/>
  <c r="F132" i="24"/>
  <c r="E132" i="24"/>
  <c r="D132" i="24"/>
  <c r="C132" i="24"/>
  <c r="H130" i="24"/>
  <c r="G130" i="24"/>
  <c r="F130" i="24"/>
  <c r="E130" i="24"/>
  <c r="D130" i="24"/>
  <c r="C130" i="24"/>
  <c r="B130" i="24"/>
  <c r="I129" i="24"/>
  <c r="G127" i="24"/>
  <c r="F127" i="24"/>
  <c r="E127" i="24"/>
  <c r="D127" i="24"/>
  <c r="C127" i="24"/>
  <c r="H125" i="24"/>
  <c r="G125" i="24"/>
  <c r="F125" i="24"/>
  <c r="E125" i="24"/>
  <c r="D125" i="24"/>
  <c r="C125" i="24"/>
  <c r="I122" i="24"/>
  <c r="H120" i="24"/>
  <c r="G120" i="24"/>
  <c r="F120" i="24"/>
  <c r="E120" i="24"/>
  <c r="D120" i="24"/>
  <c r="C120" i="24"/>
  <c r="H118" i="24"/>
  <c r="G118" i="24"/>
  <c r="F118" i="24"/>
  <c r="E118" i="24"/>
  <c r="D118" i="24"/>
  <c r="C118" i="24"/>
  <c r="B118" i="24"/>
  <c r="I117" i="24"/>
  <c r="I116" i="24"/>
  <c r="J116" i="24" s="1"/>
  <c r="K116" i="24" s="1"/>
  <c r="L116" i="24" s="1"/>
  <c r="M116" i="24" s="1"/>
  <c r="N116" i="24" s="1"/>
  <c r="O116" i="24" s="1"/>
  <c r="G115" i="24"/>
  <c r="F115" i="24"/>
  <c r="E115" i="24"/>
  <c r="D115" i="24"/>
  <c r="C115" i="24"/>
  <c r="G113" i="24"/>
  <c r="F113" i="24"/>
  <c r="E113" i="24"/>
  <c r="D113" i="24"/>
  <c r="C113" i="24"/>
  <c r="I110" i="24"/>
  <c r="I120" i="24" s="1"/>
  <c r="AG106" i="24"/>
  <c r="AF106" i="24"/>
  <c r="AE106" i="24"/>
  <c r="AD106" i="24"/>
  <c r="AD107" i="24" s="1"/>
  <c r="I103" i="24"/>
  <c r="I102" i="24" s="1"/>
  <c r="B100" i="24"/>
  <c r="B108" i="24" s="1"/>
  <c r="I108" i="24" s="1"/>
  <c r="J108" i="24" s="1"/>
  <c r="K108" i="24" s="1"/>
  <c r="L108" i="24" s="1"/>
  <c r="M108" i="24" s="1"/>
  <c r="N108" i="24" s="1"/>
  <c r="O108" i="24" s="1"/>
  <c r="G99" i="24"/>
  <c r="G107" i="24" s="1"/>
  <c r="F99" i="24"/>
  <c r="F107" i="24" s="1"/>
  <c r="E99" i="24"/>
  <c r="E107" i="24" s="1"/>
  <c r="D99" i="24"/>
  <c r="D107" i="24" s="1"/>
  <c r="C99" i="24"/>
  <c r="C107" i="24" s="1"/>
  <c r="B99" i="24"/>
  <c r="H97" i="24"/>
  <c r="H105" i="24" s="1"/>
  <c r="G97" i="24"/>
  <c r="G105" i="24" s="1"/>
  <c r="F97" i="24"/>
  <c r="E97" i="24"/>
  <c r="E105" i="24" s="1"/>
  <c r="D97" i="24"/>
  <c r="D105" i="24" s="1"/>
  <c r="C97" i="24"/>
  <c r="B97" i="24"/>
  <c r="B105" i="24" s="1"/>
  <c r="I95" i="24"/>
  <c r="I94" i="24" s="1"/>
  <c r="AF94" i="24"/>
  <c r="B92" i="24"/>
  <c r="I92" i="24" s="1"/>
  <c r="J92" i="24" s="1"/>
  <c r="K92" i="24" s="1"/>
  <c r="L92" i="24" s="1"/>
  <c r="M92" i="24" s="1"/>
  <c r="N92" i="24" s="1"/>
  <c r="O92" i="24" s="1"/>
  <c r="B82" i="24"/>
  <c r="I82" i="24" s="1"/>
  <c r="J82" i="24" s="1"/>
  <c r="K82" i="24" s="1"/>
  <c r="L82" i="24" s="1"/>
  <c r="M82" i="24" s="1"/>
  <c r="N82" i="24" s="1"/>
  <c r="O82" i="24" s="1"/>
  <c r="B72" i="24"/>
  <c r="I72" i="24" s="1"/>
  <c r="J72" i="24" s="1"/>
  <c r="K72" i="24" s="1"/>
  <c r="L72" i="24" s="1"/>
  <c r="M72" i="24" s="1"/>
  <c r="N72" i="24" s="1"/>
  <c r="O72" i="24" s="1"/>
  <c r="B62" i="24"/>
  <c r="I62" i="24" s="1"/>
  <c r="J62" i="24" s="1"/>
  <c r="K62" i="24" s="1"/>
  <c r="L62" i="24" s="1"/>
  <c r="M62" i="24" s="1"/>
  <c r="N62" i="24" s="1"/>
  <c r="O62" i="24" s="1"/>
  <c r="H61" i="24"/>
  <c r="G61" i="24"/>
  <c r="F61" i="24"/>
  <c r="E61" i="24"/>
  <c r="D61" i="24"/>
  <c r="D81" i="24" s="1"/>
  <c r="C61" i="24"/>
  <c r="C81" i="24" s="1"/>
  <c r="B61" i="24"/>
  <c r="AF53" i="24"/>
  <c r="AF52" i="24"/>
  <c r="H51" i="24"/>
  <c r="G51" i="24"/>
  <c r="F51" i="24"/>
  <c r="E51" i="24"/>
  <c r="D51" i="24"/>
  <c r="C51" i="24"/>
  <c r="H49" i="24"/>
  <c r="G49" i="24"/>
  <c r="F49" i="24"/>
  <c r="E49" i="24"/>
  <c r="D49" i="24"/>
  <c r="C49" i="24"/>
  <c r="B49" i="24"/>
  <c r="AD48" i="24"/>
  <c r="G46" i="24"/>
  <c r="F46" i="24"/>
  <c r="E46" i="24"/>
  <c r="D46" i="24"/>
  <c r="C46" i="24"/>
  <c r="H44" i="24"/>
  <c r="G44" i="24"/>
  <c r="F44" i="24"/>
  <c r="E44" i="24"/>
  <c r="D44" i="24"/>
  <c r="C44" i="24"/>
  <c r="I41" i="24"/>
  <c r="R8" i="24" s="1"/>
  <c r="H39" i="24"/>
  <c r="G39" i="24"/>
  <c r="F39" i="24"/>
  <c r="E39" i="24"/>
  <c r="D39" i="24"/>
  <c r="C39" i="24"/>
  <c r="H37" i="24"/>
  <c r="G37" i="24"/>
  <c r="F37" i="24"/>
  <c r="E37" i="24"/>
  <c r="D37" i="24"/>
  <c r="C37" i="24"/>
  <c r="B37" i="24"/>
  <c r="AF34" i="24"/>
  <c r="G34" i="24"/>
  <c r="F34" i="24"/>
  <c r="E34" i="24"/>
  <c r="D34" i="24"/>
  <c r="C34" i="24"/>
  <c r="H32" i="24"/>
  <c r="G32" i="24"/>
  <c r="F32" i="24"/>
  <c r="E32" i="24"/>
  <c r="D32" i="24"/>
  <c r="C32" i="24"/>
  <c r="AF31" i="24"/>
  <c r="AD29" i="24"/>
  <c r="I29" i="24"/>
  <c r="R7" i="24" s="1"/>
  <c r="H27" i="24"/>
  <c r="G27" i="24"/>
  <c r="F27" i="24"/>
  <c r="E27" i="24"/>
  <c r="D27" i="24"/>
  <c r="C27" i="24"/>
  <c r="H25" i="24"/>
  <c r="G25" i="24"/>
  <c r="F25" i="24"/>
  <c r="E25" i="24"/>
  <c r="D25" i="24"/>
  <c r="C25" i="24"/>
  <c r="B25" i="24"/>
  <c r="I23" i="24"/>
  <c r="J23" i="24" s="1"/>
  <c r="K23" i="24" s="1"/>
  <c r="L23" i="24" s="1"/>
  <c r="M23" i="24" s="1"/>
  <c r="N23" i="24" s="1"/>
  <c r="O23" i="24" s="1"/>
  <c r="AF22" i="24"/>
  <c r="G22" i="24"/>
  <c r="F22" i="24"/>
  <c r="E22" i="24"/>
  <c r="D22" i="24"/>
  <c r="C22" i="24"/>
  <c r="G20" i="24"/>
  <c r="F20" i="24"/>
  <c r="E20" i="24"/>
  <c r="D20" i="24"/>
  <c r="C20" i="24"/>
  <c r="AF18" i="24"/>
  <c r="I17" i="24"/>
  <c r="R6" i="24" s="1"/>
  <c r="AF15" i="24"/>
  <c r="H15" i="24"/>
  <c r="G15" i="24"/>
  <c r="F15" i="24"/>
  <c r="E15" i="24"/>
  <c r="D15" i="24"/>
  <c r="C15" i="24"/>
  <c r="AE13" i="24"/>
  <c r="AF13" i="24" s="1"/>
  <c r="H13" i="24"/>
  <c r="G13" i="24"/>
  <c r="F13" i="24"/>
  <c r="E13" i="24"/>
  <c r="D13" i="24"/>
  <c r="C13" i="24"/>
  <c r="B13" i="24"/>
  <c r="AK12" i="24"/>
  <c r="AE12" i="24"/>
  <c r="AM11" i="24"/>
  <c r="I11" i="24"/>
  <c r="J11" i="24" s="1"/>
  <c r="G10" i="24"/>
  <c r="F10" i="24"/>
  <c r="E10" i="24"/>
  <c r="D10" i="24"/>
  <c r="C10" i="24"/>
  <c r="AE9" i="24"/>
  <c r="G8" i="24"/>
  <c r="F8" i="24"/>
  <c r="E8" i="24"/>
  <c r="D8" i="24"/>
  <c r="C8" i="24"/>
  <c r="AJ5" i="24"/>
  <c r="AI5" i="24"/>
  <c r="AH5" i="24"/>
  <c r="AG5" i="24"/>
  <c r="AF5" i="24"/>
  <c r="I5" i="24"/>
  <c r="AI2" i="24"/>
  <c r="AI1" i="24" s="1"/>
  <c r="AO3" i="24" s="1"/>
  <c r="AH2" i="24"/>
  <c r="AH1" i="24" s="1"/>
  <c r="AG2" i="24"/>
  <c r="AG1" i="24" s="1"/>
  <c r="AF2" i="24"/>
  <c r="AF1" i="24" s="1"/>
  <c r="AE2" i="24"/>
  <c r="AE1" i="24" s="1"/>
  <c r="J147" i="24" l="1"/>
  <c r="J148" i="24" s="1"/>
  <c r="J196" i="24"/>
  <c r="E62" i="24"/>
  <c r="J187" i="24"/>
  <c r="K10" i="24"/>
  <c r="I196" i="24"/>
  <c r="J210" i="24"/>
  <c r="L244" i="24"/>
  <c r="J199" i="24"/>
  <c r="I147" i="24"/>
  <c r="I148" i="24" s="1"/>
  <c r="I184" i="24"/>
  <c r="L187" i="24"/>
  <c r="E108" i="24"/>
  <c r="J203" i="24"/>
  <c r="L196" i="24"/>
  <c r="J194" i="24"/>
  <c r="A46" i="24"/>
  <c r="AD25" i="24"/>
  <c r="H22" i="24"/>
  <c r="I22" i="24" s="1"/>
  <c r="K154" i="24"/>
  <c r="F62" i="24"/>
  <c r="J180" i="24"/>
  <c r="C98" i="24"/>
  <c r="B98" i="24" s="1"/>
  <c r="K98" i="24" s="1"/>
  <c r="AD20" i="24"/>
  <c r="N150" i="24" s="1"/>
  <c r="F98" i="24"/>
  <c r="K194" i="24"/>
  <c r="L147" i="24"/>
  <c r="L148" i="24" s="1"/>
  <c r="I180" i="24"/>
  <c r="O184" i="24"/>
  <c r="O180" i="24" s="1"/>
  <c r="I206" i="24"/>
  <c r="H20" i="24"/>
  <c r="I20" i="24" s="1"/>
  <c r="I18" i="24" s="1"/>
  <c r="I100" i="24"/>
  <c r="J100" i="24" s="1"/>
  <c r="K100" i="24" s="1"/>
  <c r="L100" i="24" s="1"/>
  <c r="M100" i="24" s="1"/>
  <c r="N100" i="24" s="1"/>
  <c r="O100" i="24" s="1"/>
  <c r="I154" i="24"/>
  <c r="I163" i="24"/>
  <c r="K180" i="24"/>
  <c r="M186" i="24"/>
  <c r="M187" i="24" s="1"/>
  <c r="J206" i="24"/>
  <c r="K250" i="24"/>
  <c r="AD26" i="24"/>
  <c r="M156" i="24" s="1"/>
  <c r="A34" i="24"/>
  <c r="D71" i="24"/>
  <c r="D91" i="24" s="1"/>
  <c r="K163" i="24"/>
  <c r="I144" i="24"/>
  <c r="L163" i="24"/>
  <c r="O246" i="24"/>
  <c r="G62" i="24"/>
  <c r="N180" i="24"/>
  <c r="I187" i="24"/>
  <c r="E106" i="24"/>
  <c r="AK2" i="24"/>
  <c r="AM1" i="24" s="1"/>
  <c r="K147" i="24"/>
  <c r="K148" i="24" s="1"/>
  <c r="M182" i="24"/>
  <c r="K210" i="24"/>
  <c r="K203" i="24"/>
  <c r="B27" i="24"/>
  <c r="E98" i="24"/>
  <c r="B120" i="24"/>
  <c r="B137" i="24"/>
  <c r="A139" i="24"/>
  <c r="N182" i="24"/>
  <c r="J176" i="24"/>
  <c r="M236" i="24"/>
  <c r="B39" i="24"/>
  <c r="B44" i="24"/>
  <c r="I137" i="24" s="1"/>
  <c r="J137" i="24" s="1"/>
  <c r="D62" i="24"/>
  <c r="G98" i="24"/>
  <c r="B144" i="24"/>
  <c r="L250" i="24"/>
  <c r="A115" i="24"/>
  <c r="N162" i="24"/>
  <c r="I194" i="24"/>
  <c r="K206" i="24"/>
  <c r="I214" i="24"/>
  <c r="AL3" i="24"/>
  <c r="B15" i="24"/>
  <c r="I13" i="24" s="1"/>
  <c r="J13" i="24" s="1"/>
  <c r="AM3" i="24"/>
  <c r="AE6" i="24"/>
  <c r="H8" i="24"/>
  <c r="I8" i="24" s="1"/>
  <c r="J8" i="24" s="1"/>
  <c r="K8" i="24" s="1"/>
  <c r="L8" i="24" s="1"/>
  <c r="M8" i="24" s="1"/>
  <c r="N8" i="24" s="1"/>
  <c r="O8" i="24" s="1"/>
  <c r="J10" i="24"/>
  <c r="B125" i="24"/>
  <c r="O162" i="24"/>
  <c r="N234" i="24"/>
  <c r="H46" i="24"/>
  <c r="I46" i="24" s="1"/>
  <c r="D100" i="24"/>
  <c r="L194" i="24"/>
  <c r="K199" i="24"/>
  <c r="L240" i="24"/>
  <c r="H250" i="24"/>
  <c r="J20" i="24"/>
  <c r="N20" i="24"/>
  <c r="M20" i="24"/>
  <c r="I130" i="24"/>
  <c r="J130" i="24" s="1"/>
  <c r="K130" i="24" s="1"/>
  <c r="L130" i="24" s="1"/>
  <c r="M130" i="24" s="1"/>
  <c r="N130" i="24" s="1"/>
  <c r="O130" i="24" s="1"/>
  <c r="I142" i="24"/>
  <c r="J142" i="24" s="1"/>
  <c r="K142" i="24" s="1"/>
  <c r="L142" i="24" s="1"/>
  <c r="M142" i="24" s="1"/>
  <c r="N142" i="24" s="1"/>
  <c r="O142" i="24" s="1"/>
  <c r="A10" i="24"/>
  <c r="K127" i="24"/>
  <c r="O115" i="24"/>
  <c r="O139" i="24"/>
  <c r="J127" i="24"/>
  <c r="N115" i="24"/>
  <c r="N139" i="24"/>
  <c r="M139" i="24"/>
  <c r="L139" i="24"/>
  <c r="K139" i="24"/>
  <c r="J139" i="24"/>
  <c r="M115" i="24"/>
  <c r="O127" i="24"/>
  <c r="L115" i="24"/>
  <c r="M127" i="24"/>
  <c r="J115" i="24"/>
  <c r="M46" i="24"/>
  <c r="M34" i="24"/>
  <c r="M22" i="24"/>
  <c r="N10" i="24"/>
  <c r="J46" i="24"/>
  <c r="L46" i="24"/>
  <c r="L34" i="24"/>
  <c r="L22" i="24"/>
  <c r="M10" i="24"/>
  <c r="J34" i="24"/>
  <c r="K115" i="24"/>
  <c r="K46" i="24"/>
  <c r="K34" i="24"/>
  <c r="K22" i="24"/>
  <c r="L10" i="24"/>
  <c r="N127" i="24"/>
  <c r="L127" i="24"/>
  <c r="O46" i="24"/>
  <c r="O34" i="24"/>
  <c r="O22" i="24"/>
  <c r="H10" i="24"/>
  <c r="N34" i="24"/>
  <c r="N46" i="24"/>
  <c r="N22" i="24"/>
  <c r="O10" i="24"/>
  <c r="A22" i="24"/>
  <c r="J22" i="24"/>
  <c r="H34" i="24"/>
  <c r="I34" i="24" s="1"/>
  <c r="B51" i="24"/>
  <c r="B81" i="24"/>
  <c r="C82" i="24" s="1"/>
  <c r="B71" i="24"/>
  <c r="B91" i="24" s="1"/>
  <c r="AK3" i="24"/>
  <c r="K11" i="24"/>
  <c r="N156" i="24"/>
  <c r="AN3" i="24"/>
  <c r="I10" i="24"/>
  <c r="B32" i="24"/>
  <c r="I125" i="24" s="1"/>
  <c r="I49" i="24"/>
  <c r="J49" i="24" s="1"/>
  <c r="K49" i="24" s="1"/>
  <c r="L49" i="24" s="1"/>
  <c r="M49" i="24" s="1"/>
  <c r="N49" i="24" s="1"/>
  <c r="O49" i="24" s="1"/>
  <c r="H81" i="24"/>
  <c r="H71" i="24"/>
  <c r="H106" i="24"/>
  <c r="L180" i="24"/>
  <c r="L176" i="24"/>
  <c r="I61" i="24"/>
  <c r="J61" i="24" s="1"/>
  <c r="K61" i="24" s="1"/>
  <c r="L61" i="24" s="1"/>
  <c r="M61" i="24" s="1"/>
  <c r="N61" i="24" s="1"/>
  <c r="O61" i="24" s="1"/>
  <c r="C62" i="24"/>
  <c r="D108" i="24"/>
  <c r="I118" i="24"/>
  <c r="J118" i="24" s="1"/>
  <c r="N149" i="24"/>
  <c r="O248" i="24"/>
  <c r="N248" i="24"/>
  <c r="M248" i="24"/>
  <c r="D98" i="24"/>
  <c r="F108" i="24"/>
  <c r="C105" i="24"/>
  <c r="C106" i="24" s="1"/>
  <c r="B106" i="24" s="1"/>
  <c r="I132" i="24"/>
  <c r="D82" i="24"/>
  <c r="C71" i="24"/>
  <c r="J250" i="24"/>
  <c r="K214" i="24"/>
  <c r="J259" i="24"/>
  <c r="J214" i="24"/>
  <c r="O231" i="24"/>
  <c r="N231" i="24"/>
  <c r="H139" i="24"/>
  <c r="I139" i="24" s="1"/>
  <c r="H115" i="24"/>
  <c r="I115" i="24" s="1"/>
  <c r="H127" i="24"/>
  <c r="I127" i="24" s="1"/>
  <c r="E81" i="24"/>
  <c r="E82" i="24" s="1"/>
  <c r="E71" i="24"/>
  <c r="H113" i="24"/>
  <c r="J113" i="24" s="1"/>
  <c r="F81" i="24"/>
  <c r="F71" i="24"/>
  <c r="H62" i="24"/>
  <c r="G81" i="24"/>
  <c r="G82" i="24" s="1"/>
  <c r="G71" i="24"/>
  <c r="B107" i="24"/>
  <c r="C108" i="24" s="1"/>
  <c r="C100" i="24"/>
  <c r="A127" i="24"/>
  <c r="L154" i="24"/>
  <c r="M225" i="24"/>
  <c r="H98" i="24"/>
  <c r="E100" i="24"/>
  <c r="F105" i="24"/>
  <c r="M155" i="24"/>
  <c r="M162" i="24"/>
  <c r="H176" i="24"/>
  <c r="H217" i="24" s="1"/>
  <c r="F100" i="24"/>
  <c r="B132" i="24"/>
  <c r="M159" i="24"/>
  <c r="L210" i="24"/>
  <c r="N246" i="24"/>
  <c r="M246" i="24"/>
  <c r="G100" i="24"/>
  <c r="J163" i="24"/>
  <c r="O186" i="24"/>
  <c r="I203" i="24"/>
  <c r="I210" i="24"/>
  <c r="N237" i="24"/>
  <c r="I259" i="24"/>
  <c r="K196" i="24"/>
  <c r="N196" i="24" s="1"/>
  <c r="O196" i="24" s="1"/>
  <c r="O237" i="24"/>
  <c r="G108" i="24"/>
  <c r="I176" i="24"/>
  <c r="K176" i="24"/>
  <c r="L206" i="24"/>
  <c r="I250" i="24"/>
  <c r="I199" i="24"/>
  <c r="L214" i="24"/>
  <c r="L199" i="24"/>
  <c r="H11" i="23"/>
  <c r="M150" i="24" l="1"/>
  <c r="O150" i="24"/>
  <c r="D106" i="24"/>
  <c r="I6" i="24"/>
  <c r="K20" i="24"/>
  <c r="L203" i="24"/>
  <c r="M198" i="24" s="1"/>
  <c r="L20" i="24"/>
  <c r="L18" i="24" s="1"/>
  <c r="M194" i="24"/>
  <c r="O156" i="24"/>
  <c r="O20" i="24"/>
  <c r="H148" i="24"/>
  <c r="N147" i="24" s="1"/>
  <c r="M250" i="24"/>
  <c r="I98" i="24"/>
  <c r="I32" i="24"/>
  <c r="J32" i="24" s="1"/>
  <c r="N194" i="24"/>
  <c r="O194" i="24" s="1"/>
  <c r="O192" i="24" s="1"/>
  <c r="O190" i="24" s="1"/>
  <c r="H180" i="24"/>
  <c r="I44" i="24"/>
  <c r="J44" i="24" s="1"/>
  <c r="AL1" i="24"/>
  <c r="AM6" i="24" s="1"/>
  <c r="O289" i="24" s="1"/>
  <c r="N186" i="24"/>
  <c r="N187" i="24" s="1"/>
  <c r="O187" i="24"/>
  <c r="J129" i="24"/>
  <c r="K129" i="24" s="1"/>
  <c r="L129" i="24" s="1"/>
  <c r="M129" i="24" s="1"/>
  <c r="N129" i="24" s="1"/>
  <c r="O129" i="24" s="1"/>
  <c r="AK1" i="24"/>
  <c r="AK6" i="24" s="1"/>
  <c r="M289" i="24" s="1"/>
  <c r="I135" i="24"/>
  <c r="AD41" i="24"/>
  <c r="M163" i="24" s="1"/>
  <c r="AO1" i="24"/>
  <c r="I25" i="24"/>
  <c r="J25" i="24" s="1"/>
  <c r="K25" i="24" s="1"/>
  <c r="L25" i="24" s="1"/>
  <c r="M25" i="24" s="1"/>
  <c r="N25" i="24" s="1"/>
  <c r="O25" i="24" s="1"/>
  <c r="O250" i="24"/>
  <c r="J141" i="24"/>
  <c r="K141" i="24" s="1"/>
  <c r="L141" i="24" s="1"/>
  <c r="M141" i="24" s="1"/>
  <c r="N141" i="24" s="1"/>
  <c r="O141" i="24" s="1"/>
  <c r="AN1" i="24"/>
  <c r="AN6" i="24" s="1"/>
  <c r="I37" i="24"/>
  <c r="J37" i="24" s="1"/>
  <c r="O206" i="24"/>
  <c r="M196" i="24"/>
  <c r="AE34" i="24"/>
  <c r="AD34" i="24"/>
  <c r="L256" i="24"/>
  <c r="M244" i="24"/>
  <c r="M256" i="24" s="1"/>
  <c r="N236" i="24"/>
  <c r="F82" i="24"/>
  <c r="M147" i="24"/>
  <c r="M146" i="24" s="1"/>
  <c r="AP3" i="24"/>
  <c r="N198" i="24"/>
  <c r="N163" i="24"/>
  <c r="O163" i="24"/>
  <c r="M154" i="24"/>
  <c r="M153" i="24" s="1"/>
  <c r="N155" i="24"/>
  <c r="F106" i="24"/>
  <c r="G106" i="24"/>
  <c r="L98" i="24"/>
  <c r="K96" i="24"/>
  <c r="O18" i="24"/>
  <c r="G91" i="24"/>
  <c r="G72" i="24"/>
  <c r="F91" i="24"/>
  <c r="F72" i="24"/>
  <c r="I113" i="24"/>
  <c r="I30" i="24"/>
  <c r="K13" i="24"/>
  <c r="L13" i="24" s="1"/>
  <c r="M13" i="24" s="1"/>
  <c r="N13" i="24" s="1"/>
  <c r="O13" i="24" s="1"/>
  <c r="C72" i="24"/>
  <c r="C91" i="24"/>
  <c r="D72" i="24"/>
  <c r="M18" i="24"/>
  <c r="J111" i="24"/>
  <c r="J110" i="24" s="1"/>
  <c r="L113" i="24"/>
  <c r="N250" i="24"/>
  <c r="N225" i="24"/>
  <c r="M287" i="24"/>
  <c r="N214" i="24"/>
  <c r="M206" i="24"/>
  <c r="M205" i="24" s="1"/>
  <c r="K137" i="24"/>
  <c r="N18" i="24"/>
  <c r="M214" i="24"/>
  <c r="M213" i="24" s="1"/>
  <c r="N213" i="24" s="1"/>
  <c r="E91" i="24"/>
  <c r="E92" i="24" s="1"/>
  <c r="E72" i="24"/>
  <c r="I106" i="24"/>
  <c r="K106" i="24"/>
  <c r="O149" i="24"/>
  <c r="O147" i="24" s="1"/>
  <c r="N206" i="24"/>
  <c r="I123" i="24"/>
  <c r="J125" i="24"/>
  <c r="AD5" i="24"/>
  <c r="J18" i="24"/>
  <c r="J17" i="24" s="1"/>
  <c r="S6" i="24" s="1"/>
  <c r="N159" i="24"/>
  <c r="O214" i="24"/>
  <c r="I71" i="24"/>
  <c r="J71" i="24" s="1"/>
  <c r="K71" i="24" s="1"/>
  <c r="L71" i="24" s="1"/>
  <c r="M71" i="24" s="1"/>
  <c r="N71" i="24" s="1"/>
  <c r="O71" i="24" s="1"/>
  <c r="H72" i="24"/>
  <c r="H91" i="24"/>
  <c r="K18" i="24"/>
  <c r="J98" i="24"/>
  <c r="J96" i="24" s="1"/>
  <c r="J95" i="24" s="1"/>
  <c r="I96" i="24"/>
  <c r="I97" i="24"/>
  <c r="J97" i="24" s="1"/>
  <c r="K97" i="24" s="1"/>
  <c r="O210" i="24"/>
  <c r="N210" i="24"/>
  <c r="M210" i="24"/>
  <c r="M209" i="24" s="1"/>
  <c r="K118" i="24"/>
  <c r="L118" i="24" s="1"/>
  <c r="M118" i="24" s="1"/>
  <c r="N118" i="24" s="1"/>
  <c r="O118" i="24" s="1"/>
  <c r="J117" i="24"/>
  <c r="H82" i="24"/>
  <c r="I81" i="24"/>
  <c r="J81" i="24" s="1"/>
  <c r="K81" i="24" s="1"/>
  <c r="L81" i="24" s="1"/>
  <c r="M81" i="24" s="1"/>
  <c r="N81" i="24" s="1"/>
  <c r="O81" i="24" s="1"/>
  <c r="K6" i="24"/>
  <c r="L11" i="24"/>
  <c r="J6" i="24"/>
  <c r="J5" i="24" s="1"/>
  <c r="N146" i="24" l="1"/>
  <c r="I42" i="24"/>
  <c r="N192" i="24"/>
  <c r="M192" i="24"/>
  <c r="AO6" i="24"/>
  <c r="AL6" i="24"/>
  <c r="N289" i="24" s="1"/>
  <c r="AD35" i="24"/>
  <c r="L97" i="24"/>
  <c r="K117" i="24"/>
  <c r="L117" i="24" s="1"/>
  <c r="M117" i="24" s="1"/>
  <c r="N117" i="24" s="1"/>
  <c r="O117" i="24" s="1"/>
  <c r="K37" i="24"/>
  <c r="L37" i="24" s="1"/>
  <c r="M37" i="24" s="1"/>
  <c r="N37" i="24" s="1"/>
  <c r="O37" i="24" s="1"/>
  <c r="O236" i="24"/>
  <c r="O244" i="24" s="1"/>
  <c r="O256" i="24" s="1"/>
  <c r="N244" i="24"/>
  <c r="N256" i="24" s="1"/>
  <c r="O213" i="24"/>
  <c r="N209" i="24"/>
  <c r="O209" i="24" s="1"/>
  <c r="O146" i="24"/>
  <c r="I91" i="24"/>
  <c r="J91" i="24" s="1"/>
  <c r="K91" i="24" s="1"/>
  <c r="L91" i="24" s="1"/>
  <c r="M91" i="24" s="1"/>
  <c r="N91" i="24" s="1"/>
  <c r="O91" i="24" s="1"/>
  <c r="H92" i="24"/>
  <c r="O159" i="24"/>
  <c r="K17" i="24"/>
  <c r="T6" i="24" s="1"/>
  <c r="K44" i="24"/>
  <c r="C92" i="24"/>
  <c r="D92" i="24"/>
  <c r="M288" i="24"/>
  <c r="M290" i="24"/>
  <c r="M258" i="24"/>
  <c r="M311" i="24"/>
  <c r="K32" i="24"/>
  <c r="I111" i="24"/>
  <c r="K113" i="24"/>
  <c r="N154" i="24"/>
  <c r="N153" i="24" s="1"/>
  <c r="O155" i="24"/>
  <c r="O154" i="24" s="1"/>
  <c r="O225" i="24"/>
  <c r="O287" i="24" s="1"/>
  <c r="N287" i="24"/>
  <c r="L106" i="24"/>
  <c r="K104" i="24"/>
  <c r="L137" i="24"/>
  <c r="F92" i="24"/>
  <c r="L96" i="24"/>
  <c r="M98" i="24"/>
  <c r="O198" i="24"/>
  <c r="K95" i="24"/>
  <c r="J94" i="24"/>
  <c r="I104" i="24"/>
  <c r="J106" i="24"/>
  <c r="J104" i="24" s="1"/>
  <c r="J103" i="24" s="1"/>
  <c r="I105" i="24"/>
  <c r="N113" i="24"/>
  <c r="N111" i="24" s="1"/>
  <c r="L111" i="24"/>
  <c r="M11" i="24"/>
  <c r="L6" i="24"/>
  <c r="K5" i="24"/>
  <c r="K125" i="24"/>
  <c r="N205" i="24"/>
  <c r="O205" i="24" s="1"/>
  <c r="J120" i="24"/>
  <c r="G92" i="24"/>
  <c r="O258" i="24" l="1"/>
  <c r="N311" i="24"/>
  <c r="N314" i="24" s="1"/>
  <c r="N288" i="24"/>
  <c r="N258" i="24"/>
  <c r="N290" i="24"/>
  <c r="N294" i="24" s="1"/>
  <c r="O290" i="24"/>
  <c r="O311" i="24"/>
  <c r="O314" i="24" s="1"/>
  <c r="O288" i="24"/>
  <c r="O153" i="24"/>
  <c r="L125" i="24"/>
  <c r="L5" i="24"/>
  <c r="J105" i="24"/>
  <c r="K105" i="24" s="1"/>
  <c r="L105" i="24" s="1"/>
  <c r="M113" i="24"/>
  <c r="K111" i="24"/>
  <c r="K110" i="24" s="1"/>
  <c r="J102" i="24"/>
  <c r="K103" i="24"/>
  <c r="M137" i="24"/>
  <c r="N98" i="24"/>
  <c r="M96" i="24"/>
  <c r="M97" i="24"/>
  <c r="L32" i="24"/>
  <c r="L95" i="24"/>
  <c r="K94" i="24"/>
  <c r="M106" i="24"/>
  <c r="L104" i="24"/>
  <c r="L44" i="24"/>
  <c r="AE22" i="24"/>
  <c r="AD22" i="24"/>
  <c r="N11" i="24"/>
  <c r="M6" i="24"/>
  <c r="M299" i="24"/>
  <c r="M301" i="24"/>
  <c r="M294" i="24"/>
  <c r="L17" i="24"/>
  <c r="U6" i="24" s="1"/>
  <c r="D11" i="23"/>
  <c r="E11" i="23"/>
  <c r="F11" i="23"/>
  <c r="G11" i="23"/>
  <c r="I11" i="23"/>
  <c r="C11" i="23"/>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83" i="22"/>
  <c r="I84" i="22"/>
  <c r="I85" i="22"/>
  <c r="I86" i="22"/>
  <c r="I87" i="22"/>
  <c r="I88" i="22"/>
  <c r="I89" i="22"/>
  <c r="I90" i="22"/>
  <c r="I91" i="22"/>
  <c r="I92" i="22"/>
  <c r="I93" i="22"/>
  <c r="I94" i="22"/>
  <c r="I95" i="22"/>
  <c r="I96" i="22"/>
  <c r="I97" i="22"/>
  <c r="I98" i="22"/>
  <c r="I99" i="22"/>
  <c r="I100" i="22"/>
  <c r="I101" i="22"/>
  <c r="I102" i="22"/>
  <c r="I103" i="22"/>
  <c r="I104" i="22"/>
  <c r="I105" i="22"/>
  <c r="I106" i="22"/>
  <c r="I107" i="22"/>
  <c r="I108" i="22"/>
  <c r="I109" i="22"/>
  <c r="I110" i="22"/>
  <c r="I111" i="22"/>
  <c r="I112" i="22"/>
  <c r="I113" i="22"/>
  <c r="I114" i="22"/>
  <c r="I115" i="22"/>
  <c r="I116" i="22"/>
  <c r="I117" i="22"/>
  <c r="I118" i="22"/>
  <c r="I119" i="22"/>
  <c r="I120" i="22"/>
  <c r="I121" i="22"/>
  <c r="I122" i="22"/>
  <c r="I123" i="22"/>
  <c r="I124" i="22"/>
  <c r="I125" i="22"/>
  <c r="I126" i="22"/>
  <c r="I127" i="22"/>
  <c r="I128" i="22"/>
  <c r="I129" i="22"/>
  <c r="I130" i="22"/>
  <c r="I131" i="22"/>
  <c r="I132" i="22"/>
  <c r="I133" i="22"/>
  <c r="I134" i="22"/>
  <c r="I135" i="22"/>
  <c r="I136" i="22"/>
  <c r="I137" i="22"/>
  <c r="I138" i="22"/>
  <c r="I139" i="22"/>
  <c r="I140" i="22"/>
  <c r="I141" i="22"/>
  <c r="I142" i="22"/>
  <c r="I143" i="22"/>
  <c r="I144" i="22"/>
  <c r="I145" i="22"/>
  <c r="I146" i="22"/>
  <c r="I147" i="22"/>
  <c r="I148" i="22"/>
  <c r="I149" i="22"/>
  <c r="I150" i="22"/>
  <c r="I151" i="22"/>
  <c r="I152" i="22"/>
  <c r="I153" i="22"/>
  <c r="I154" i="22"/>
  <c r="I155" i="22"/>
  <c r="I156" i="22"/>
  <c r="I157" i="22"/>
  <c r="I158" i="22"/>
  <c r="I159" i="22"/>
  <c r="I160" i="22"/>
  <c r="I161" i="22"/>
  <c r="I162" i="22"/>
  <c r="I163" i="22"/>
  <c r="I164" i="22"/>
  <c r="I165" i="22"/>
  <c r="I166" i="22"/>
  <c r="I167" i="22"/>
  <c r="I168" i="22"/>
  <c r="I169" i="22"/>
  <c r="I170" i="22"/>
  <c r="I171" i="22"/>
  <c r="I172" i="22"/>
  <c r="I173" i="22"/>
  <c r="I174" i="22"/>
  <c r="I175" i="22"/>
  <c r="I176" i="22"/>
  <c r="I177" i="22"/>
  <c r="I178" i="22"/>
  <c r="I179" i="22"/>
  <c r="I180" i="22"/>
  <c r="I181" i="22"/>
  <c r="I182" i="22"/>
  <c r="I183" i="22"/>
  <c r="I184" i="22"/>
  <c r="I185" i="22"/>
  <c r="I186" i="22"/>
  <c r="I187" i="22"/>
  <c r="I188" i="22"/>
  <c r="I189" i="22"/>
  <c r="I190" i="22"/>
  <c r="I191" i="22"/>
  <c r="I192" i="22"/>
  <c r="I193" i="22"/>
  <c r="I194" i="22"/>
  <c r="I195" i="22"/>
  <c r="I196" i="22"/>
  <c r="I197" i="22"/>
  <c r="I198" i="22"/>
  <c r="I199" i="22"/>
  <c r="I200" i="22"/>
  <c r="I20" i="22"/>
  <c r="D13" i="22"/>
  <c r="D17" i="22"/>
  <c r="C13" i="22" s="1"/>
  <c r="I13" i="22"/>
  <c r="H13" i="22"/>
  <c r="G13" i="22"/>
  <c r="F13" i="22"/>
  <c r="E13" i="22"/>
  <c r="I13" i="21"/>
  <c r="H13" i="21"/>
  <c r="G13" i="21"/>
  <c r="F13" i="21"/>
  <c r="E13" i="21"/>
  <c r="D13" i="21"/>
  <c r="D17" i="21"/>
  <c r="C13" i="21" s="1"/>
  <c r="B57" i="24" l="1"/>
  <c r="C57" i="24"/>
  <c r="D57" i="24"/>
  <c r="E57" i="24"/>
  <c r="F57" i="24"/>
  <c r="G57" i="24"/>
  <c r="H57" i="24"/>
  <c r="D59" i="24"/>
  <c r="E59" i="24"/>
  <c r="F59" i="24"/>
  <c r="G59" i="24"/>
  <c r="H59" i="24"/>
  <c r="B59" i="24"/>
  <c r="C59" i="24"/>
  <c r="B60" i="24"/>
  <c r="J21" i="22"/>
  <c r="H99" i="24"/>
  <c r="N299" i="24"/>
  <c r="AD23" i="24"/>
  <c r="N301" i="24"/>
  <c r="O301" i="24"/>
  <c r="O294" i="24"/>
  <c r="O299" i="24"/>
  <c r="N96" i="24"/>
  <c r="O98" i="24"/>
  <c r="O96" i="24" s="1"/>
  <c r="L94" i="24"/>
  <c r="M95" i="24"/>
  <c r="M104" i="24"/>
  <c r="N106" i="24"/>
  <c r="M17" i="24"/>
  <c r="V6" i="24" s="1"/>
  <c r="O11" i="24"/>
  <c r="O6" i="24" s="1"/>
  <c r="N6" i="24"/>
  <c r="K120" i="24"/>
  <c r="L110" i="24"/>
  <c r="M32" i="24"/>
  <c r="M111" i="24"/>
  <c r="O113" i="24"/>
  <c r="O111" i="24" s="1"/>
  <c r="N97" i="24"/>
  <c r="O97" i="24" s="1"/>
  <c r="N137" i="24"/>
  <c r="M105" i="24"/>
  <c r="M125" i="24"/>
  <c r="AE31" i="24"/>
  <c r="AD31" i="24"/>
  <c r="AD32" i="24" s="1"/>
  <c r="M44" i="24"/>
  <c r="L103" i="24"/>
  <c r="K102" i="24"/>
  <c r="AD6" i="24"/>
  <c r="M5" i="24"/>
  <c r="H14" i="23"/>
  <c r="H107" i="24" l="1"/>
  <c r="H100" i="24"/>
  <c r="I99" i="24"/>
  <c r="J99" i="24" s="1"/>
  <c r="K99" i="24" s="1"/>
  <c r="L99" i="24" s="1"/>
  <c r="M99" i="24" s="1"/>
  <c r="N99" i="24" s="1"/>
  <c r="O99" i="24" s="1"/>
  <c r="B80" i="24"/>
  <c r="I60" i="24"/>
  <c r="B70" i="24"/>
  <c r="I70" i="24" s="1"/>
  <c r="J70" i="24" s="1"/>
  <c r="K70" i="24" s="1"/>
  <c r="L70" i="24" s="1"/>
  <c r="M70" i="24" s="1"/>
  <c r="N70" i="24" s="1"/>
  <c r="O70" i="24" s="1"/>
  <c r="C79" i="24"/>
  <c r="C60" i="24"/>
  <c r="C69" i="24"/>
  <c r="B79" i="24"/>
  <c r="B89" i="24" s="1"/>
  <c r="B69" i="24"/>
  <c r="H79" i="24"/>
  <c r="H60" i="24"/>
  <c r="H69" i="24"/>
  <c r="G79" i="24"/>
  <c r="G89" i="24" s="1"/>
  <c r="G60" i="24"/>
  <c r="G69" i="24"/>
  <c r="F69" i="24"/>
  <c r="F79" i="24"/>
  <c r="F60" i="24"/>
  <c r="E60" i="24"/>
  <c r="E69" i="24"/>
  <c r="E79" i="24"/>
  <c r="D79" i="24"/>
  <c r="D69" i="24"/>
  <c r="D70" i="24" s="1"/>
  <c r="D60" i="24"/>
  <c r="H77" i="24"/>
  <c r="H67" i="24"/>
  <c r="H58" i="24"/>
  <c r="G77" i="24"/>
  <c r="G58" i="24"/>
  <c r="G67" i="24"/>
  <c r="F77" i="24"/>
  <c r="F58" i="24"/>
  <c r="F67" i="24"/>
  <c r="E77" i="24"/>
  <c r="E58" i="24"/>
  <c r="E67" i="24"/>
  <c r="D77" i="24"/>
  <c r="D87" i="24" s="1"/>
  <c r="D58" i="24"/>
  <c r="D67" i="24"/>
  <c r="C67" i="24"/>
  <c r="C58" i="24"/>
  <c r="B58" i="24" s="1"/>
  <c r="C77" i="24"/>
  <c r="B67" i="24"/>
  <c r="C68" i="24" s="1"/>
  <c r="B77" i="24"/>
  <c r="B87" i="24" s="1"/>
  <c r="N105" i="24"/>
  <c r="L102" i="24"/>
  <c r="M103" i="24"/>
  <c r="N125" i="24"/>
  <c r="N44" i="24"/>
  <c r="N32" i="24"/>
  <c r="L120" i="24"/>
  <c r="M110" i="24"/>
  <c r="N17" i="24"/>
  <c r="W6" i="24" s="1"/>
  <c r="O137" i="24"/>
  <c r="N5" i="24"/>
  <c r="O106" i="24"/>
  <c r="O104" i="24" s="1"/>
  <c r="N104" i="24"/>
  <c r="M94" i="24"/>
  <c r="N95" i="24"/>
  <c r="D78" i="24" l="1"/>
  <c r="C87" i="24"/>
  <c r="C88" i="24" s="1"/>
  <c r="C78" i="24"/>
  <c r="I58" i="24"/>
  <c r="J58" i="24"/>
  <c r="D68" i="24"/>
  <c r="D88" i="24"/>
  <c r="E68" i="24"/>
  <c r="E87" i="24"/>
  <c r="E88" i="24" s="1"/>
  <c r="E78" i="24"/>
  <c r="F68" i="24"/>
  <c r="F87" i="24"/>
  <c r="F88" i="24" s="1"/>
  <c r="F78" i="24"/>
  <c r="G68" i="24"/>
  <c r="G87" i="24"/>
  <c r="G88" i="24" s="1"/>
  <c r="G78" i="24"/>
  <c r="H68" i="24"/>
  <c r="H78" i="24"/>
  <c r="H87" i="24"/>
  <c r="D80" i="24"/>
  <c r="D89" i="24"/>
  <c r="E80" i="24"/>
  <c r="E89" i="24"/>
  <c r="E90" i="24" s="1"/>
  <c r="E70" i="24"/>
  <c r="G80" i="24"/>
  <c r="F80" i="24"/>
  <c r="F89" i="24"/>
  <c r="F90" i="24" s="1"/>
  <c r="F70" i="24"/>
  <c r="G70" i="24"/>
  <c r="G90" i="24"/>
  <c r="I69" i="24"/>
  <c r="J69" i="24" s="1"/>
  <c r="K69" i="24" s="1"/>
  <c r="L69" i="24" s="1"/>
  <c r="M69" i="24" s="1"/>
  <c r="N69" i="24" s="1"/>
  <c r="O69" i="24" s="1"/>
  <c r="H70" i="24"/>
  <c r="H80" i="24"/>
  <c r="H89" i="24"/>
  <c r="C70" i="24"/>
  <c r="C89" i="24"/>
  <c r="C90" i="24" s="1"/>
  <c r="C80" i="24"/>
  <c r="I59" i="24"/>
  <c r="J60" i="24"/>
  <c r="K60" i="24" s="1"/>
  <c r="L60" i="24" s="1"/>
  <c r="M60" i="24" s="1"/>
  <c r="N60" i="24" s="1"/>
  <c r="O60" i="24" s="1"/>
  <c r="B90" i="24"/>
  <c r="I90" i="24" s="1"/>
  <c r="J90" i="24" s="1"/>
  <c r="K90" i="24" s="1"/>
  <c r="L90" i="24" s="1"/>
  <c r="M90" i="24" s="1"/>
  <c r="N90" i="24" s="1"/>
  <c r="O90" i="24" s="1"/>
  <c r="I80" i="24"/>
  <c r="H108" i="24"/>
  <c r="I107" i="24"/>
  <c r="J107" i="24" s="1"/>
  <c r="K107" i="24" s="1"/>
  <c r="L107" i="24" s="1"/>
  <c r="M107" i="24" s="1"/>
  <c r="N107" i="24" s="1"/>
  <c r="O107" i="24" s="1"/>
  <c r="O44" i="24"/>
  <c r="M120" i="24"/>
  <c r="N110" i="24"/>
  <c r="O5" i="24"/>
  <c r="O32" i="24"/>
  <c r="N94" i="24"/>
  <c r="O95" i="24"/>
  <c r="O94" i="24" s="1"/>
  <c r="N103" i="24"/>
  <c r="M102" i="24"/>
  <c r="O17" i="24"/>
  <c r="O105" i="24"/>
  <c r="O125" i="24"/>
  <c r="J80" i="24" l="1"/>
  <c r="K80" i="24" s="1"/>
  <c r="L80" i="24" s="1"/>
  <c r="M80" i="24" s="1"/>
  <c r="N80" i="24" s="1"/>
  <c r="O80" i="24" s="1"/>
  <c r="I79" i="24"/>
  <c r="J79" i="24" s="1"/>
  <c r="K79" i="24" s="1"/>
  <c r="L79" i="24" s="1"/>
  <c r="M79" i="24" s="1"/>
  <c r="N79" i="24" s="1"/>
  <c r="O79" i="24" s="1"/>
  <c r="J59" i="24"/>
  <c r="K59" i="24" s="1"/>
  <c r="L59" i="24" s="1"/>
  <c r="M59" i="24" s="1"/>
  <c r="N59" i="24" s="1"/>
  <c r="O59" i="24" s="1"/>
  <c r="I89" i="24"/>
  <c r="J89" i="24" s="1"/>
  <c r="K89" i="24" s="1"/>
  <c r="L89" i="24" s="1"/>
  <c r="M89" i="24" s="1"/>
  <c r="N89" i="24" s="1"/>
  <c r="O89" i="24" s="1"/>
  <c r="H90" i="24"/>
  <c r="D90" i="24"/>
  <c r="H88" i="24"/>
  <c r="B68" i="24"/>
  <c r="J56" i="24"/>
  <c r="K58" i="24"/>
  <c r="I56" i="24"/>
  <c r="I57" i="24"/>
  <c r="J57" i="24" s="1"/>
  <c r="K57" i="24" s="1"/>
  <c r="B78" i="24"/>
  <c r="B88" i="24"/>
  <c r="X6" i="24"/>
  <c r="AE18" i="24"/>
  <c r="AD18" i="24"/>
  <c r="O110" i="24"/>
  <c r="O120" i="24" s="1"/>
  <c r="N120" i="24"/>
  <c r="N102" i="24"/>
  <c r="O103" i="24"/>
  <c r="O102" i="24" s="1"/>
  <c r="I88" i="24" l="1"/>
  <c r="J88" i="24"/>
  <c r="J78" i="24"/>
  <c r="I78" i="24"/>
  <c r="K56" i="24"/>
  <c r="L58" i="24"/>
  <c r="J68" i="24"/>
  <c r="I68" i="24"/>
  <c r="AD17" i="24"/>
  <c r="I66" i="24" l="1"/>
  <c r="I67" i="24"/>
  <c r="J67" i="24" s="1"/>
  <c r="J66" i="24"/>
  <c r="K68" i="24"/>
  <c r="L56" i="24"/>
  <c r="M58" i="24"/>
  <c r="L57" i="24"/>
  <c r="M57" i="24" s="1"/>
  <c r="I76" i="24"/>
  <c r="I77" i="24"/>
  <c r="J77" i="24" s="1"/>
  <c r="J76" i="24"/>
  <c r="K78" i="24"/>
  <c r="J86" i="24"/>
  <c r="K88" i="24"/>
  <c r="I86" i="24"/>
  <c r="I87" i="24"/>
  <c r="J87" i="24" s="1"/>
  <c r="K87" i="24" s="1"/>
  <c r="K86" i="24" l="1"/>
  <c r="L88" i="24"/>
  <c r="K76" i="24"/>
  <c r="L78" i="24"/>
  <c r="K77" i="24"/>
  <c r="L77" i="24" s="1"/>
  <c r="M56" i="24"/>
  <c r="N58" i="24"/>
  <c r="K66" i="24"/>
  <c r="L68" i="24"/>
  <c r="K67" i="24"/>
  <c r="L67" i="24" s="1"/>
  <c r="L66" i="24" l="1"/>
  <c r="M68" i="24"/>
  <c r="O58" i="24"/>
  <c r="O56" i="24" s="1"/>
  <c r="N56" i="24"/>
  <c r="N57" i="24"/>
  <c r="O57" i="24" s="1"/>
  <c r="L76" i="24"/>
  <c r="M78" i="24"/>
  <c r="L86" i="24"/>
  <c r="M88" i="24"/>
  <c r="L87" i="24"/>
  <c r="M87" i="24" s="1"/>
  <c r="M86" i="24" l="1"/>
  <c r="N88" i="24"/>
  <c r="M76" i="24"/>
  <c r="N78" i="24"/>
  <c r="M77" i="24"/>
  <c r="N68" i="24"/>
  <c r="M66" i="24"/>
  <c r="M67" i="24"/>
  <c r="F31" i="20"/>
  <c r="G31" i="20"/>
  <c r="H31" i="20"/>
  <c r="I31" i="20"/>
  <c r="J31" i="20"/>
  <c r="K31" i="20"/>
  <c r="F30" i="20"/>
  <c r="G30" i="20"/>
  <c r="H30" i="20"/>
  <c r="I30" i="20"/>
  <c r="J30" i="20"/>
  <c r="K30" i="20"/>
  <c r="F29" i="20"/>
  <c r="G29" i="20"/>
  <c r="H29" i="20"/>
  <c r="I29" i="20"/>
  <c r="J29" i="20"/>
  <c r="K29" i="20"/>
  <c r="F36" i="19"/>
  <c r="G36" i="19"/>
  <c r="H36" i="19"/>
  <c r="I36" i="19"/>
  <c r="F37" i="19"/>
  <c r="G37" i="19"/>
  <c r="H37" i="19"/>
  <c r="I37" i="19"/>
  <c r="E37" i="19"/>
  <c r="K37" i="19" s="1"/>
  <c r="E33" i="19"/>
  <c r="E36" i="19"/>
  <c r="J36" i="19"/>
  <c r="E34" i="19"/>
  <c r="F34" i="19"/>
  <c r="G34" i="19"/>
  <c r="H34" i="19"/>
  <c r="I34" i="19"/>
  <c r="J34" i="19"/>
  <c r="E35" i="19"/>
  <c r="F35" i="19"/>
  <c r="G35" i="19"/>
  <c r="H35" i="19"/>
  <c r="I35" i="19"/>
  <c r="J35" i="19"/>
  <c r="F33" i="19"/>
  <c r="G33" i="19"/>
  <c r="H33" i="19"/>
  <c r="I33" i="19"/>
  <c r="J33" i="19"/>
  <c r="F25" i="20"/>
  <c r="G25" i="20"/>
  <c r="H25" i="20"/>
  <c r="I25" i="20"/>
  <c r="J25" i="20"/>
  <c r="K25" i="20"/>
  <c r="G26" i="20"/>
  <c r="H26" i="20"/>
  <c r="I26" i="20"/>
  <c r="J26" i="20"/>
  <c r="K26" i="20"/>
  <c r="F26" i="20"/>
  <c r="K35" i="19"/>
  <c r="E17" i="19"/>
  <c r="G27" i="20"/>
  <c r="H27" i="20"/>
  <c r="I27" i="20"/>
  <c r="J27" i="20"/>
  <c r="K27" i="20"/>
  <c r="G28" i="20"/>
  <c r="H28" i="20"/>
  <c r="I28" i="20"/>
  <c r="J28" i="20"/>
  <c r="K28" i="20"/>
  <c r="F27" i="20"/>
  <c r="F28" i="20"/>
  <c r="J17" i="19"/>
  <c r="F18" i="19"/>
  <c r="G18" i="19"/>
  <c r="H18" i="19"/>
  <c r="I18" i="19"/>
  <c r="J18" i="19"/>
  <c r="F19" i="19"/>
  <c r="G19" i="19"/>
  <c r="H19" i="19"/>
  <c r="I19" i="19"/>
  <c r="J19" i="19"/>
  <c r="E19" i="19"/>
  <c r="E18" i="19"/>
  <c r="F17" i="19"/>
  <c r="G17" i="19"/>
  <c r="H17" i="19"/>
  <c r="I17" i="19"/>
  <c r="M27" i="20" l="1"/>
  <c r="K33" i="19"/>
  <c r="M31" i="20"/>
  <c r="M32" i="20"/>
  <c r="M33" i="20"/>
  <c r="N67" i="24"/>
  <c r="O68" i="24"/>
  <c r="O66" i="24" s="1"/>
  <c r="N66" i="24"/>
  <c r="N77" i="24"/>
  <c r="N76" i="24"/>
  <c r="O78" i="24"/>
  <c r="O76" i="24" s="1"/>
  <c r="O88" i="24"/>
  <c r="O86" i="24" s="1"/>
  <c r="N86" i="24"/>
  <c r="N87" i="24"/>
  <c r="O87" i="24" s="1"/>
  <c r="M28" i="20"/>
  <c r="K17" i="19"/>
  <c r="K18" i="19"/>
  <c r="K34" i="19"/>
  <c r="K36" i="19"/>
  <c r="M29" i="20"/>
  <c r="M30" i="20"/>
  <c r="K19" i="19"/>
  <c r="L18" i="19" s="1"/>
  <c r="L33" i="19" l="1"/>
  <c r="N28" i="20"/>
  <c r="O128" i="24"/>
  <c r="O123" i="24" s="1"/>
  <c r="N128" i="24"/>
  <c r="N123" i="24" s="1"/>
  <c r="M128" i="24"/>
  <c r="M123" i="24" s="1"/>
  <c r="L128" i="24"/>
  <c r="L123" i="24" s="1"/>
  <c r="K128" i="24"/>
  <c r="K123" i="24" s="1"/>
  <c r="J128" i="24"/>
  <c r="J123" i="24" s="1"/>
  <c r="J122" i="24" s="1"/>
  <c r="J132" i="24" s="1"/>
  <c r="I128" i="24"/>
  <c r="H128" i="24"/>
  <c r="G128" i="24"/>
  <c r="F128" i="24"/>
  <c r="E128" i="24"/>
  <c r="D128" i="24"/>
  <c r="C128" i="24"/>
  <c r="B128" i="24"/>
  <c r="O35" i="24"/>
  <c r="O30" i="24" s="1"/>
  <c r="N35" i="24"/>
  <c r="N30" i="24" s="1"/>
  <c r="M35" i="24"/>
  <c r="M30" i="24" s="1"/>
  <c r="L35" i="24"/>
  <c r="L30" i="24" s="1"/>
  <c r="K35" i="24"/>
  <c r="K30" i="24" s="1"/>
  <c r="J35" i="24"/>
  <c r="J30" i="24" s="1"/>
  <c r="J29" i="24" s="1"/>
  <c r="I35" i="24"/>
  <c r="H35" i="24"/>
  <c r="G35" i="24"/>
  <c r="F35" i="24"/>
  <c r="E35" i="24"/>
  <c r="D35" i="24"/>
  <c r="C35" i="24"/>
  <c r="B35" i="24"/>
  <c r="O77" i="24"/>
  <c r="O67" i="24"/>
  <c r="O140" i="24" l="1"/>
  <c r="O135" i="24" s="1"/>
  <c r="N140" i="24"/>
  <c r="N135" i="24" s="1"/>
  <c r="M140" i="24"/>
  <c r="M135" i="24" s="1"/>
  <c r="L140" i="24"/>
  <c r="L135" i="24" s="1"/>
  <c r="K140" i="24"/>
  <c r="K135" i="24" s="1"/>
  <c r="J140" i="24"/>
  <c r="J135" i="24" s="1"/>
  <c r="J134" i="24" s="1"/>
  <c r="J144" i="24" s="1"/>
  <c r="I140" i="24"/>
  <c r="H140" i="24"/>
  <c r="G140" i="24"/>
  <c r="F140" i="24"/>
  <c r="E140" i="24"/>
  <c r="D140" i="24"/>
  <c r="C140" i="24"/>
  <c r="B140" i="24"/>
  <c r="O47" i="24"/>
  <c r="O42" i="24" s="1"/>
  <c r="N47" i="24"/>
  <c r="N42" i="24" s="1"/>
  <c r="M47" i="24"/>
  <c r="M42" i="24" s="1"/>
  <c r="L47" i="24"/>
  <c r="L42" i="24" s="1"/>
  <c r="K47" i="24"/>
  <c r="K42" i="24" s="1"/>
  <c r="J47" i="24"/>
  <c r="J42" i="24" s="1"/>
  <c r="J41" i="24" s="1"/>
  <c r="I47" i="24"/>
  <c r="H47" i="24"/>
  <c r="G47" i="24"/>
  <c r="F47" i="24"/>
  <c r="E47" i="24"/>
  <c r="D47" i="24"/>
  <c r="C47" i="24"/>
  <c r="B47" i="24"/>
  <c r="S7" i="24"/>
  <c r="K29" i="24"/>
  <c r="L29" i="24" s="1"/>
  <c r="M29" i="24" s="1"/>
  <c r="N29" i="24" s="1"/>
  <c r="K122" i="24"/>
  <c r="K132" i="24" s="1"/>
  <c r="L122" i="24"/>
  <c r="L132" i="24" s="1"/>
  <c r="M122" i="24" l="1"/>
  <c r="W7" i="24"/>
  <c r="O29" i="24"/>
  <c r="V7" i="24"/>
  <c r="U7" i="24"/>
  <c r="T7" i="24"/>
  <c r="S8" i="24"/>
  <c r="K41" i="24"/>
  <c r="L41" i="24" s="1"/>
  <c r="M41" i="24" s="1"/>
  <c r="N41" i="24" s="1"/>
  <c r="K134" i="24"/>
  <c r="K144" i="24" s="1"/>
  <c r="L134" i="24" l="1"/>
  <c r="M132" i="24"/>
  <c r="N122" i="24"/>
  <c r="W8" i="24"/>
  <c r="O41" i="24"/>
  <c r="V8" i="24"/>
  <c r="U8" i="24"/>
  <c r="T8" i="24"/>
  <c r="X7" i="24"/>
  <c r="L144" i="24" l="1"/>
  <c r="M134" i="24"/>
  <c r="O122" i="24"/>
  <c r="O132" i="24" s="1"/>
  <c r="N132" i="24"/>
  <c r="M302" i="24" s="1"/>
  <c r="M304" i="24" s="1"/>
  <c r="X8" i="24"/>
  <c r="M144" i="24" l="1"/>
  <c r="N134" i="24"/>
  <c r="C15" i="17"/>
  <c r="D14" i="17"/>
  <c r="D15" i="17" s="1"/>
  <c r="E12" i="17"/>
  <c r="F12" i="17" s="1"/>
  <c r="A12" i="17"/>
  <c r="D7" i="17"/>
  <c r="E7" i="17" s="1"/>
  <c r="F7" i="17" s="1"/>
  <c r="I315" i="16"/>
  <c r="H315" i="16"/>
  <c r="G315" i="16"/>
  <c r="F315" i="16"/>
  <c r="E315" i="16"/>
  <c r="D315" i="16"/>
  <c r="C315" i="16"/>
  <c r="B315" i="16"/>
  <c r="I314" i="16"/>
  <c r="H314" i="16"/>
  <c r="G314" i="16"/>
  <c r="F314" i="16"/>
  <c r="E314" i="16"/>
  <c r="D314" i="16"/>
  <c r="C314" i="16"/>
  <c r="B314" i="16"/>
  <c r="B313" i="16"/>
  <c r="G184" i="16"/>
  <c r="N173" i="16"/>
  <c r="N174" i="16" s="1"/>
  <c r="G185" i="16" s="1"/>
  <c r="F167" i="16"/>
  <c r="G163" i="16"/>
  <c r="K158" i="16"/>
  <c r="J158" i="16"/>
  <c r="I158" i="16"/>
  <c r="H158" i="16"/>
  <c r="G158" i="16"/>
  <c r="G145" i="16"/>
  <c r="G144" i="16"/>
  <c r="H144" i="16" s="1"/>
  <c r="I144" i="16" s="1"/>
  <c r="J144" i="16" s="1"/>
  <c r="K144" i="16" s="1"/>
  <c r="G143" i="16"/>
  <c r="G142" i="16"/>
  <c r="H142" i="16" s="1"/>
  <c r="I142" i="16" s="1"/>
  <c r="J142" i="16" s="1"/>
  <c r="K142" i="16" s="1"/>
  <c r="G139" i="16"/>
  <c r="G138" i="16"/>
  <c r="H138" i="16" s="1"/>
  <c r="I138" i="16" s="1"/>
  <c r="J138" i="16" s="1"/>
  <c r="K138" i="16" s="1"/>
  <c r="E120" i="16"/>
  <c r="D120" i="16"/>
  <c r="C120" i="16"/>
  <c r="B120" i="16"/>
  <c r="K120" i="16" s="1"/>
  <c r="F118" i="16"/>
  <c r="E118" i="16"/>
  <c r="D118" i="16"/>
  <c r="C118" i="16"/>
  <c r="B118" i="16"/>
  <c r="F108" i="16"/>
  <c r="E108" i="16"/>
  <c r="D108" i="16"/>
  <c r="C108" i="16"/>
  <c r="B108" i="16"/>
  <c r="Q106" i="16"/>
  <c r="P106" i="16"/>
  <c r="O106" i="16"/>
  <c r="N106" i="16"/>
  <c r="M106" i="16"/>
  <c r="F105" i="16"/>
  <c r="E105" i="16"/>
  <c r="D105" i="16"/>
  <c r="C105" i="16"/>
  <c r="B105" i="16"/>
  <c r="F102" i="16"/>
  <c r="E102" i="16"/>
  <c r="F112" i="16" s="1"/>
  <c r="D102" i="16"/>
  <c r="C102" i="16"/>
  <c r="B102" i="16"/>
  <c r="K100" i="16"/>
  <c r="J100" i="16"/>
  <c r="I100" i="16"/>
  <c r="H100" i="16"/>
  <c r="G100" i="16"/>
  <c r="F98" i="16"/>
  <c r="E98" i="16"/>
  <c r="D98" i="16"/>
  <c r="C98" i="16"/>
  <c r="M97" i="16" s="1"/>
  <c r="F93" i="16"/>
  <c r="E93" i="16"/>
  <c r="D93" i="16"/>
  <c r="C93" i="16"/>
  <c r="F85" i="16"/>
  <c r="F131" i="16" s="1"/>
  <c r="E85" i="16"/>
  <c r="D85" i="16"/>
  <c r="C85" i="16"/>
  <c r="B85" i="16"/>
  <c r="B122" i="16" s="1"/>
  <c r="F81" i="16"/>
  <c r="E81" i="16"/>
  <c r="D81" i="16"/>
  <c r="C81" i="16"/>
  <c r="D82" i="16" s="1"/>
  <c r="B81" i="16"/>
  <c r="F77" i="16"/>
  <c r="E77" i="16"/>
  <c r="D77" i="16"/>
  <c r="C77" i="16"/>
  <c r="B77" i="16"/>
  <c r="N70" i="16"/>
  <c r="F70" i="16"/>
  <c r="E74" i="16" s="1"/>
  <c r="E70" i="16"/>
  <c r="D74" i="16" s="1"/>
  <c r="D70" i="16"/>
  <c r="C70" i="16"/>
  <c r="B70" i="16"/>
  <c r="B74" i="16" s="1"/>
  <c r="F67" i="16"/>
  <c r="E67" i="16"/>
  <c r="D67" i="16"/>
  <c r="C67" i="16"/>
  <c r="B67" i="16"/>
  <c r="N65" i="16"/>
  <c r="F65" i="16"/>
  <c r="E65" i="16"/>
  <c r="D65" i="16"/>
  <c r="C65" i="16"/>
  <c r="B65" i="16"/>
  <c r="F64" i="16"/>
  <c r="E64" i="16"/>
  <c r="D64" i="16"/>
  <c r="C64" i="16"/>
  <c r="F62" i="16"/>
  <c r="G62" i="16" s="1"/>
  <c r="H62" i="16" s="1"/>
  <c r="E62" i="16"/>
  <c r="D62" i="16"/>
  <c r="C62" i="16"/>
  <c r="B62" i="16"/>
  <c r="F58" i="16"/>
  <c r="E58" i="16"/>
  <c r="D58" i="16"/>
  <c r="C58" i="16"/>
  <c r="B58" i="16"/>
  <c r="G56" i="16"/>
  <c r="F56" i="16"/>
  <c r="E56" i="16"/>
  <c r="D56" i="16"/>
  <c r="M56" i="16" s="1"/>
  <c r="C56" i="16"/>
  <c r="K55" i="16"/>
  <c r="J55" i="16"/>
  <c r="I55" i="16"/>
  <c r="H55" i="16"/>
  <c r="H56" i="16" s="1"/>
  <c r="O54" i="16"/>
  <c r="N54" i="16"/>
  <c r="P53" i="16"/>
  <c r="P52" i="16"/>
  <c r="F51" i="16"/>
  <c r="E51" i="16"/>
  <c r="D51" i="16"/>
  <c r="C51" i="16"/>
  <c r="D52" i="16" s="1"/>
  <c r="B51" i="16"/>
  <c r="B48" i="16" s="1"/>
  <c r="N48" i="16"/>
  <c r="M47" i="16"/>
  <c r="F34" i="16"/>
  <c r="E34" i="16"/>
  <c r="D34" i="16"/>
  <c r="C34" i="16"/>
  <c r="B34" i="16"/>
  <c r="F31" i="16"/>
  <c r="E31" i="16"/>
  <c r="D31" i="16"/>
  <c r="C31" i="16"/>
  <c r="B31" i="16"/>
  <c r="A30" i="16"/>
  <c r="N29" i="16"/>
  <c r="F28" i="16"/>
  <c r="E28" i="16"/>
  <c r="D28" i="16"/>
  <c r="C28" i="16"/>
  <c r="F27" i="16"/>
  <c r="E27" i="16"/>
  <c r="D27" i="16"/>
  <c r="C27" i="16"/>
  <c r="F25" i="16"/>
  <c r="E25" i="16"/>
  <c r="D25" i="16"/>
  <c r="C25" i="16"/>
  <c r="B25" i="16"/>
  <c r="A24" i="16"/>
  <c r="F22" i="16"/>
  <c r="E22" i="16"/>
  <c r="D22" i="16"/>
  <c r="C22" i="16"/>
  <c r="F21" i="16"/>
  <c r="E21" i="16"/>
  <c r="D21" i="16"/>
  <c r="C21" i="16"/>
  <c r="F18" i="16"/>
  <c r="E18" i="16"/>
  <c r="D18" i="16"/>
  <c r="C18" i="16"/>
  <c r="B18" i="16"/>
  <c r="A17" i="16"/>
  <c r="F15" i="16"/>
  <c r="E15" i="16"/>
  <c r="D15" i="16"/>
  <c r="C15" i="16"/>
  <c r="F14" i="16"/>
  <c r="E14" i="16"/>
  <c r="D14" i="16"/>
  <c r="C14" i="16"/>
  <c r="F12" i="16"/>
  <c r="E12" i="16"/>
  <c r="D12" i="16"/>
  <c r="C12" i="16"/>
  <c r="B12" i="16"/>
  <c r="W11" i="16"/>
  <c r="A11" i="16"/>
  <c r="O9" i="16"/>
  <c r="F9" i="16"/>
  <c r="E9" i="16"/>
  <c r="D9" i="16"/>
  <c r="C9" i="16"/>
  <c r="F8" i="16"/>
  <c r="E8" i="16"/>
  <c r="D8" i="16"/>
  <c r="C8" i="16"/>
  <c r="T5" i="16"/>
  <c r="S5" i="16"/>
  <c r="R5" i="16"/>
  <c r="Q5" i="16"/>
  <c r="P5" i="16"/>
  <c r="O6" i="16" s="1"/>
  <c r="F5" i="16"/>
  <c r="E5" i="16"/>
  <c r="D5" i="16"/>
  <c r="C5" i="16"/>
  <c r="B5" i="16"/>
  <c r="N6" i="16" s="1"/>
  <c r="A4" i="16"/>
  <c r="S2" i="16"/>
  <c r="S1" i="16" s="1"/>
  <c r="R2" i="16"/>
  <c r="R1" i="16" s="1"/>
  <c r="Q2" i="16"/>
  <c r="Q1" i="16" s="1"/>
  <c r="P2" i="16"/>
  <c r="P1" i="16" s="1"/>
  <c r="O2" i="16"/>
  <c r="O1" i="16" s="1"/>
  <c r="O173" i="15"/>
  <c r="O174" i="15" s="1"/>
  <c r="AG106" i="15"/>
  <c r="AF106" i="15"/>
  <c r="AE106" i="15"/>
  <c r="AD106" i="15"/>
  <c r="AF53" i="15"/>
  <c r="AF52" i="15"/>
  <c r="AD48" i="15"/>
  <c r="AD29" i="15"/>
  <c r="AM11" i="15"/>
  <c r="AE9" i="15"/>
  <c r="AJ5" i="15"/>
  <c r="AI5" i="15"/>
  <c r="AH5" i="15"/>
  <c r="AG5" i="15"/>
  <c r="AF5" i="15"/>
  <c r="AI2" i="15"/>
  <c r="AI1" i="15" s="1"/>
  <c r="AH2" i="15"/>
  <c r="AH1" i="15" s="1"/>
  <c r="AG2" i="15"/>
  <c r="AG1" i="15" s="1"/>
  <c r="AF2" i="15"/>
  <c r="AF1" i="15" s="1"/>
  <c r="AE2" i="15"/>
  <c r="AE1" i="15" s="1"/>
  <c r="N144" i="24" l="1"/>
  <c r="O134" i="24"/>
  <c r="O144" i="24" s="1"/>
  <c r="E19" i="16"/>
  <c r="E20" i="16" s="1"/>
  <c r="C26" i="16"/>
  <c r="E52" i="16"/>
  <c r="F52" i="16"/>
  <c r="I56" i="16"/>
  <c r="C59" i="16"/>
  <c r="D59" i="16"/>
  <c r="C66" i="16"/>
  <c r="E66" i="16"/>
  <c r="F66" i="16"/>
  <c r="C68" i="16"/>
  <c r="D68" i="16"/>
  <c r="F68" i="16"/>
  <c r="C71" i="16"/>
  <c r="D71" i="16"/>
  <c r="E78" i="16"/>
  <c r="F78" i="16"/>
  <c r="C122" i="16"/>
  <c r="C131" i="16"/>
  <c r="D122" i="16"/>
  <c r="D86" i="16"/>
  <c r="I118" i="16"/>
  <c r="E35" i="16"/>
  <c r="E13" i="16"/>
  <c r="I58" i="16"/>
  <c r="E82" i="16"/>
  <c r="N20" i="16"/>
  <c r="I22" i="16" s="1"/>
  <c r="E68" i="16"/>
  <c r="H68" i="16" s="1"/>
  <c r="I68" i="16" s="1"/>
  <c r="J68" i="16" s="1"/>
  <c r="K68" i="16" s="1"/>
  <c r="E71" i="16"/>
  <c r="W3" i="16"/>
  <c r="C35" i="16"/>
  <c r="E59" i="16"/>
  <c r="D66" i="16"/>
  <c r="C74" i="16"/>
  <c r="C75" i="16" s="1"/>
  <c r="I34" i="16"/>
  <c r="D19" i="16"/>
  <c r="D20" i="16" s="1"/>
  <c r="G120" i="16"/>
  <c r="H120" i="16"/>
  <c r="F82" i="16"/>
  <c r="D26" i="16"/>
  <c r="C86" i="16"/>
  <c r="J118" i="16"/>
  <c r="J120" i="16"/>
  <c r="C48" i="16"/>
  <c r="N107" i="16"/>
  <c r="H118" i="16"/>
  <c r="F122" i="16"/>
  <c r="F35" i="16"/>
  <c r="O13" i="16"/>
  <c r="N26" i="16"/>
  <c r="G28" i="16" s="1"/>
  <c r="N19" i="16"/>
  <c r="G21" i="16" s="1"/>
  <c r="H21" i="16" s="1"/>
  <c r="E14" i="17"/>
  <c r="E15" i="17" s="1"/>
  <c r="H34" i="16"/>
  <c r="U3" i="16"/>
  <c r="H9" i="16"/>
  <c r="F13" i="16"/>
  <c r="V3" i="16"/>
  <c r="I9" i="16"/>
  <c r="N25" i="16"/>
  <c r="G27" i="16" s="1"/>
  <c r="H27" i="16" s="1"/>
  <c r="J9" i="16"/>
  <c r="G31" i="16"/>
  <c r="H31" i="16" s="1"/>
  <c r="G34" i="16"/>
  <c r="L34" i="16" s="1"/>
  <c r="X3" i="16"/>
  <c r="B3" i="16"/>
  <c r="B10" i="16" s="1"/>
  <c r="D3" i="16"/>
  <c r="D148" i="16" s="1"/>
  <c r="N5" i="16"/>
  <c r="F14" i="17"/>
  <c r="F15" i="17" s="1"/>
  <c r="O12" i="16"/>
  <c r="G14" i="16" s="1"/>
  <c r="F26" i="16"/>
  <c r="F48" i="16"/>
  <c r="F59" i="16"/>
  <c r="G58" i="16"/>
  <c r="U2" i="16"/>
  <c r="C13" i="16"/>
  <c r="C3" i="16"/>
  <c r="C10" i="16" s="1"/>
  <c r="D13" i="16"/>
  <c r="Y3" i="16"/>
  <c r="P13" i="16"/>
  <c r="G15" i="16"/>
  <c r="H15" i="16" s="1"/>
  <c r="I15" i="16" s="1"/>
  <c r="J15" i="16" s="1"/>
  <c r="K15" i="16" s="1"/>
  <c r="K56" i="16"/>
  <c r="J56" i="16"/>
  <c r="E75" i="16"/>
  <c r="J58" i="16"/>
  <c r="J59" i="16" s="1"/>
  <c r="H66" i="16"/>
  <c r="G66" i="16"/>
  <c r="M66" i="16"/>
  <c r="G8" i="16"/>
  <c r="G68" i="16"/>
  <c r="D78" i="16"/>
  <c r="C78" i="16"/>
  <c r="H22" i="16"/>
  <c r="J22" i="16"/>
  <c r="E122" i="16"/>
  <c r="J122" i="16" s="1"/>
  <c r="E131" i="16"/>
  <c r="F86" i="16"/>
  <c r="E48" i="16"/>
  <c r="E86" i="16"/>
  <c r="K86" i="16" s="1"/>
  <c r="K9" i="16"/>
  <c r="C19" i="16"/>
  <c r="C20" i="16" s="1"/>
  <c r="E26" i="16"/>
  <c r="J34" i="16"/>
  <c r="D35" i="16"/>
  <c r="D48" i="16"/>
  <c r="F71" i="16"/>
  <c r="G97" i="16"/>
  <c r="I120" i="16"/>
  <c r="B131" i="16"/>
  <c r="K34" i="16"/>
  <c r="K118" i="16"/>
  <c r="C6" i="16"/>
  <c r="C7" i="16" s="1"/>
  <c r="F116" i="16"/>
  <c r="D131" i="16"/>
  <c r="D6" i="16"/>
  <c r="D7" i="16" s="1"/>
  <c r="F19" i="16"/>
  <c r="F20" i="16" s="1"/>
  <c r="C82" i="16"/>
  <c r="E3" i="16"/>
  <c r="E54" i="16" s="1"/>
  <c r="E6" i="16"/>
  <c r="E7" i="16" s="1"/>
  <c r="G9" i="16"/>
  <c r="C52" i="16"/>
  <c r="B52" i="16" s="1"/>
  <c r="K58" i="16"/>
  <c r="K59" i="16" s="1"/>
  <c r="F3" i="16"/>
  <c r="F6" i="16"/>
  <c r="F7" i="16" s="1"/>
  <c r="G118" i="16"/>
  <c r="AM3" i="15"/>
  <c r="AE6" i="15"/>
  <c r="AE13" i="15"/>
  <c r="AD25" i="15"/>
  <c r="AE12" i="15"/>
  <c r="AD107" i="15"/>
  <c r="AL3" i="15"/>
  <c r="AO3" i="15"/>
  <c r="AN3" i="15"/>
  <c r="AK2" i="15"/>
  <c r="AD26" i="15"/>
  <c r="AD20" i="15"/>
  <c r="AK3" i="15"/>
  <c r="K22" i="16" l="1"/>
  <c r="G22" i="16"/>
  <c r="G26" i="16"/>
  <c r="G25" i="16" s="1"/>
  <c r="L31" i="16" s="1"/>
  <c r="J28" i="16"/>
  <c r="K28" i="16"/>
  <c r="I28" i="16"/>
  <c r="H28" i="16"/>
  <c r="H26" i="16" s="1"/>
  <c r="H25" i="16" s="1"/>
  <c r="N34" i="16"/>
  <c r="F128" i="16"/>
  <c r="D89" i="16"/>
  <c r="D75" i="16"/>
  <c r="N41" i="16"/>
  <c r="J35" i="16" s="1"/>
  <c r="D106" i="16"/>
  <c r="M1" i="16"/>
  <c r="B182" i="16"/>
  <c r="D10" i="16"/>
  <c r="B148" i="16"/>
  <c r="B36" i="16"/>
  <c r="F75" i="16"/>
  <c r="G70" i="16" s="1"/>
  <c r="H70" i="16" s="1"/>
  <c r="D36" i="16"/>
  <c r="D23" i="16"/>
  <c r="D29" i="16"/>
  <c r="I86" i="16"/>
  <c r="B29" i="16"/>
  <c r="Z3" i="16"/>
  <c r="D103" i="16"/>
  <c r="D109" i="16"/>
  <c r="D54" i="16"/>
  <c r="E53" i="16" s="1"/>
  <c r="B7" i="16"/>
  <c r="G6" i="16" s="1"/>
  <c r="G5" i="16" s="1"/>
  <c r="D32" i="16"/>
  <c r="M34" i="16"/>
  <c r="B106" i="16"/>
  <c r="B89" i="16"/>
  <c r="B32" i="16"/>
  <c r="B54" i="16"/>
  <c r="U12" i="16"/>
  <c r="E32" i="16"/>
  <c r="B103" i="16"/>
  <c r="B16" i="16"/>
  <c r="E10" i="16"/>
  <c r="B23" i="16"/>
  <c r="B109" i="16"/>
  <c r="D16" i="16"/>
  <c r="H35" i="16"/>
  <c r="K35" i="16"/>
  <c r="C148" i="16"/>
  <c r="C109" i="16"/>
  <c r="C89" i="16"/>
  <c r="F23" i="16"/>
  <c r="I31" i="16"/>
  <c r="K122" i="16"/>
  <c r="F10" i="16"/>
  <c r="J86" i="16"/>
  <c r="E106" i="16"/>
  <c r="E148" i="16"/>
  <c r="E89" i="16"/>
  <c r="C313" i="16" s="1"/>
  <c r="E16" i="16"/>
  <c r="E103" i="16"/>
  <c r="E29" i="16"/>
  <c r="C23" i="16"/>
  <c r="E109" i="16"/>
  <c r="U1" i="16"/>
  <c r="U6" i="16" s="1"/>
  <c r="G161" i="16" s="1"/>
  <c r="Y1" i="16"/>
  <c r="X1" i="16"/>
  <c r="W1" i="16"/>
  <c r="V1" i="16"/>
  <c r="I66" i="16"/>
  <c r="H64" i="16"/>
  <c r="G159" i="16"/>
  <c r="H97" i="16"/>
  <c r="H86" i="16"/>
  <c r="G86" i="16"/>
  <c r="G85" i="16" s="1"/>
  <c r="I78" i="16"/>
  <c r="H78" i="16"/>
  <c r="G78" i="16"/>
  <c r="G77" i="16" s="1"/>
  <c r="K78" i="16"/>
  <c r="J78" i="16"/>
  <c r="C106" i="16"/>
  <c r="F106" i="16"/>
  <c r="F103" i="16"/>
  <c r="F109" i="16"/>
  <c r="F89" i="16"/>
  <c r="D313" i="16" s="1"/>
  <c r="N66" i="16"/>
  <c r="N67" i="16" s="1"/>
  <c r="F32" i="16"/>
  <c r="F147" i="16"/>
  <c r="K82" i="16"/>
  <c r="J82" i="16"/>
  <c r="I82" i="16"/>
  <c r="H82" i="16"/>
  <c r="G82" i="16"/>
  <c r="G81" i="16" s="1"/>
  <c r="C54" i="16"/>
  <c r="P34" i="16"/>
  <c r="I27" i="16"/>
  <c r="C103" i="16"/>
  <c r="O34" i="16"/>
  <c r="E23" i="16"/>
  <c r="C29" i="16"/>
  <c r="G64" i="16"/>
  <c r="L66" i="16"/>
  <c r="G122" i="16"/>
  <c r="F29" i="16"/>
  <c r="H122" i="16"/>
  <c r="G13" i="16"/>
  <c r="G12" i="16" s="1"/>
  <c r="H14" i="16"/>
  <c r="B20" i="16"/>
  <c r="G19" i="16" s="1"/>
  <c r="G18" i="16" s="1"/>
  <c r="F54" i="16"/>
  <c r="F53" i="16" s="1"/>
  <c r="F36" i="16"/>
  <c r="I21" i="16"/>
  <c r="I122" i="16"/>
  <c r="C36" i="16"/>
  <c r="G59" i="16"/>
  <c r="H58" i="16"/>
  <c r="F16" i="16"/>
  <c r="H8" i="16"/>
  <c r="E36" i="16"/>
  <c r="C32" i="16"/>
  <c r="C16" i="16"/>
  <c r="AF13" i="15"/>
  <c r="AD41" i="15"/>
  <c r="AD34" i="15"/>
  <c r="AP3" i="15"/>
  <c r="AE34" i="15"/>
  <c r="AN1" i="15"/>
  <c r="AM1" i="15"/>
  <c r="AL1" i="15"/>
  <c r="AK1" i="15"/>
  <c r="AK6" i="15" s="1"/>
  <c r="AO1" i="15"/>
  <c r="AF34" i="15"/>
  <c r="AK12" i="15"/>
  <c r="G35" i="16" l="1"/>
  <c r="E104" i="16"/>
  <c r="I35" i="16"/>
  <c r="E110" i="16"/>
  <c r="V6" i="16"/>
  <c r="H161" i="16" s="1"/>
  <c r="X6" i="16"/>
  <c r="J161" i="16" s="1"/>
  <c r="Y6" i="16"/>
  <c r="K161" i="16" s="1"/>
  <c r="N35" i="16"/>
  <c r="F110" i="16"/>
  <c r="H19" i="16"/>
  <c r="H18" i="16" s="1"/>
  <c r="C104" i="16"/>
  <c r="J103" i="16"/>
  <c r="I103" i="16"/>
  <c r="H103" i="16"/>
  <c r="D104" i="16"/>
  <c r="K103" i="16"/>
  <c r="F104" i="16"/>
  <c r="W6" i="16"/>
  <c r="I161" i="16" s="1"/>
  <c r="J31" i="16"/>
  <c r="L22" i="16"/>
  <c r="I8" i="16"/>
  <c r="H6" i="16"/>
  <c r="H5" i="16" s="1"/>
  <c r="I19" i="16"/>
  <c r="J21" i="16"/>
  <c r="H85" i="16"/>
  <c r="I85" i="16" s="1"/>
  <c r="J85" i="16" s="1"/>
  <c r="K85" i="16" s="1"/>
  <c r="G3" i="16"/>
  <c r="G23" i="16" s="1"/>
  <c r="L18" i="16"/>
  <c r="I26" i="16"/>
  <c r="I25" i="16" s="1"/>
  <c r="J27" i="16"/>
  <c r="H106" i="16"/>
  <c r="G106" i="16"/>
  <c r="I97" i="16"/>
  <c r="H159" i="16"/>
  <c r="C110" i="16"/>
  <c r="G109" i="16"/>
  <c r="G108" i="16" s="1"/>
  <c r="K109" i="16"/>
  <c r="D110" i="16"/>
  <c r="J109" i="16"/>
  <c r="I109" i="16"/>
  <c r="H109" i="16"/>
  <c r="H59" i="16"/>
  <c r="I59" i="16"/>
  <c r="I14" i="16"/>
  <c r="H13" i="16"/>
  <c r="H12" i="16" s="1"/>
  <c r="C53" i="16"/>
  <c r="H54" i="16"/>
  <c r="D53" i="16"/>
  <c r="G54" i="16"/>
  <c r="K54" i="16"/>
  <c r="J54" i="16"/>
  <c r="I54" i="16"/>
  <c r="M31" i="16"/>
  <c r="H81" i="16"/>
  <c r="I81" i="16" s="1"/>
  <c r="J81" i="16" s="1"/>
  <c r="K81" i="16" s="1"/>
  <c r="H77" i="16"/>
  <c r="I77" i="16" s="1"/>
  <c r="J77" i="16" s="1"/>
  <c r="K77" i="16" s="1"/>
  <c r="J66" i="16"/>
  <c r="I64" i="16"/>
  <c r="I62" i="16" s="1"/>
  <c r="I70" i="16"/>
  <c r="AO6" i="15"/>
  <c r="AN6" i="15"/>
  <c r="AD35" i="15"/>
  <c r="AM6" i="15"/>
  <c r="AL6" i="15"/>
  <c r="M53" i="16" l="1"/>
  <c r="K53" i="16" s="1"/>
  <c r="K52" i="16" s="1"/>
  <c r="G16" i="16"/>
  <c r="G10" i="16"/>
  <c r="G105" i="16"/>
  <c r="G114" i="16" s="1"/>
  <c r="G51" i="16"/>
  <c r="G48" i="16" s="1"/>
  <c r="G89" i="16" s="1"/>
  <c r="M18" i="16"/>
  <c r="H3" i="16"/>
  <c r="H105" i="16" s="1"/>
  <c r="N31" i="16"/>
  <c r="M22" i="16"/>
  <c r="I18" i="16"/>
  <c r="J70" i="16"/>
  <c r="J97" i="16"/>
  <c r="I159" i="16"/>
  <c r="L15" i="16"/>
  <c r="G32" i="16"/>
  <c r="G36" i="16"/>
  <c r="G37" i="16"/>
  <c r="G29" i="16"/>
  <c r="G75" i="16"/>
  <c r="J64" i="16"/>
  <c r="K66" i="16"/>
  <c r="K64" i="16" s="1"/>
  <c r="J62" i="16"/>
  <c r="K62" i="16" s="1"/>
  <c r="J26" i="16"/>
  <c r="J25" i="16" s="1"/>
  <c r="K27" i="16"/>
  <c r="K26" i="16" s="1"/>
  <c r="K21" i="16"/>
  <c r="K19" i="16" s="1"/>
  <c r="J19" i="16"/>
  <c r="J14" i="16"/>
  <c r="I13" i="16"/>
  <c r="I12" i="16" s="1"/>
  <c r="K31" i="16"/>
  <c r="G102" i="16"/>
  <c r="M102" i="16"/>
  <c r="G103" i="16"/>
  <c r="H108" i="16"/>
  <c r="G116" i="16"/>
  <c r="J8" i="16"/>
  <c r="I6" i="16"/>
  <c r="I5" i="16" s="1"/>
  <c r="H53" i="16" l="1"/>
  <c r="H52" i="16" s="1"/>
  <c r="G53" i="16"/>
  <c r="G52" i="16" s="1"/>
  <c r="J53" i="16"/>
  <c r="J52" i="16" s="1"/>
  <c r="I53" i="16"/>
  <c r="I52" i="16" s="1"/>
  <c r="H23" i="16"/>
  <c r="AD5" i="15"/>
  <c r="H51" i="16"/>
  <c r="H48" i="16" s="1"/>
  <c r="H89" i="16" s="1"/>
  <c r="AD22" i="15"/>
  <c r="N18" i="16"/>
  <c r="I3" i="16"/>
  <c r="I16" i="16" s="1"/>
  <c r="I105" i="16"/>
  <c r="I114" i="16" s="1"/>
  <c r="H114" i="16"/>
  <c r="I108" i="16"/>
  <c r="H116" i="16"/>
  <c r="H102" i="16"/>
  <c r="H112" i="16" s="1"/>
  <c r="G112" i="16"/>
  <c r="G128" i="16" s="1"/>
  <c r="H16" i="16"/>
  <c r="K14" i="16"/>
  <c r="K13" i="16" s="1"/>
  <c r="J13" i="16"/>
  <c r="J12" i="16" s="1"/>
  <c r="K97" i="16"/>
  <c r="K159" i="16" s="1"/>
  <c r="J159" i="16"/>
  <c r="J6" i="16"/>
  <c r="J5" i="16" s="1"/>
  <c r="K8" i="16"/>
  <c r="K6" i="16" s="1"/>
  <c r="K70" i="16"/>
  <c r="K25" i="16"/>
  <c r="O31" i="16"/>
  <c r="M15" i="16"/>
  <c r="H36" i="16"/>
  <c r="H32" i="16"/>
  <c r="H29" i="16"/>
  <c r="H75" i="16"/>
  <c r="G157" i="16"/>
  <c r="E313" i="16"/>
  <c r="L94" i="16"/>
  <c r="G90" i="16"/>
  <c r="N22" i="16"/>
  <c r="J18" i="16"/>
  <c r="H10" i="16"/>
  <c r="AD31" i="15"/>
  <c r="AD6" i="15" l="1"/>
  <c r="O18" i="16"/>
  <c r="K5" i="16"/>
  <c r="J3" i="16"/>
  <c r="J16" i="16" s="1"/>
  <c r="K12" i="16"/>
  <c r="H157" i="16"/>
  <c r="F313" i="16"/>
  <c r="M94" i="16"/>
  <c r="H90" i="16"/>
  <c r="I102" i="16"/>
  <c r="I112" i="16" s="1"/>
  <c r="H128" i="16"/>
  <c r="G160" i="16"/>
  <c r="G130" i="16"/>
  <c r="G183" i="16"/>
  <c r="G162" i="16"/>
  <c r="O22" i="16"/>
  <c r="K18" i="16"/>
  <c r="I116" i="16"/>
  <c r="J108" i="16"/>
  <c r="N15" i="16"/>
  <c r="I36" i="16"/>
  <c r="I32" i="16"/>
  <c r="I51" i="16"/>
  <c r="I48" i="16" s="1"/>
  <c r="I89" i="16" s="1"/>
  <c r="I75" i="16"/>
  <c r="I29" i="16"/>
  <c r="P31" i="16"/>
  <c r="N32" i="16" s="1"/>
  <c r="I10" i="16"/>
  <c r="I23" i="16"/>
  <c r="J105" i="16"/>
  <c r="AE22" i="15"/>
  <c r="AE31" i="15"/>
  <c r="J10" i="16" l="1"/>
  <c r="J23" i="16"/>
  <c r="G313" i="16"/>
  <c r="N94" i="16"/>
  <c r="I90" i="16"/>
  <c r="I157" i="16"/>
  <c r="J116" i="16"/>
  <c r="K108" i="16"/>
  <c r="K116" i="16" s="1"/>
  <c r="I128" i="16"/>
  <c r="K105" i="16"/>
  <c r="K114" i="16" s="1"/>
  <c r="H160" i="16"/>
  <c r="H130" i="16"/>
  <c r="H183" i="16"/>
  <c r="H186" i="16" s="1"/>
  <c r="H162" i="16"/>
  <c r="J114" i="16"/>
  <c r="J102" i="16"/>
  <c r="J112" i="16" s="1"/>
  <c r="O15" i="16"/>
  <c r="J36" i="16"/>
  <c r="J51" i="16"/>
  <c r="J48" i="16" s="1"/>
  <c r="J89" i="16" s="1"/>
  <c r="J32" i="16"/>
  <c r="J29" i="16"/>
  <c r="J75" i="16"/>
  <c r="P22" i="16"/>
  <c r="N23" i="16" s="1"/>
  <c r="G173" i="16"/>
  <c r="G166" i="16"/>
  <c r="G171" i="16"/>
  <c r="K3" i="16"/>
  <c r="K16" i="16" s="1"/>
  <c r="P18" i="16"/>
  <c r="N17" i="16" s="1"/>
  <c r="AF22" i="15"/>
  <c r="AD23" i="15" s="1"/>
  <c r="AF31" i="15"/>
  <c r="AD32" i="15" s="1"/>
  <c r="H313" i="16" l="1"/>
  <c r="O94" i="16"/>
  <c r="J90" i="16"/>
  <c r="J157" i="16"/>
  <c r="P15" i="16"/>
  <c r="N16" i="16" s="1"/>
  <c r="K36" i="16"/>
  <c r="K51" i="16"/>
  <c r="K48" i="16" s="1"/>
  <c r="K89" i="16" s="1"/>
  <c r="K32" i="16"/>
  <c r="K29" i="16"/>
  <c r="K75" i="16"/>
  <c r="I160" i="16"/>
  <c r="I130" i="16"/>
  <c r="I183" i="16"/>
  <c r="I186" i="16" s="1"/>
  <c r="I162" i="16"/>
  <c r="K10" i="16"/>
  <c r="H173" i="16"/>
  <c r="H171" i="16"/>
  <c r="H166" i="16"/>
  <c r="J128" i="16"/>
  <c r="K102" i="16"/>
  <c r="K112" i="16" s="1"/>
  <c r="K128" i="16" s="1"/>
  <c r="K23" i="16"/>
  <c r="AF94" i="15"/>
  <c r="AD18" i="15" l="1"/>
  <c r="I313" i="16"/>
  <c r="P94" i="16"/>
  <c r="N95" i="16" s="1"/>
  <c r="K90" i="16"/>
  <c r="K157" i="16"/>
  <c r="K183" i="16"/>
  <c r="K162" i="16"/>
  <c r="K130" i="16"/>
  <c r="K160" i="16"/>
  <c r="I173" i="16"/>
  <c r="I171" i="16"/>
  <c r="I166" i="16"/>
  <c r="J130" i="16"/>
  <c r="J183" i="16"/>
  <c r="J186" i="16" s="1"/>
  <c r="J162" i="16"/>
  <c r="J160" i="16"/>
  <c r="J134" i="16" l="1"/>
  <c r="K186" i="16"/>
  <c r="L171" i="16"/>
  <c r="L174" i="16" s="1"/>
  <c r="J173" i="16"/>
  <c r="J171" i="16"/>
  <c r="J166" i="16"/>
  <c r="K171" i="16"/>
  <c r="L160" i="16"/>
  <c r="J172" i="16" l="1"/>
  <c r="G165" i="16"/>
  <c r="K166" i="16" s="1"/>
  <c r="G167" i="16" s="1"/>
  <c r="G169" i="16" s="1"/>
  <c r="L161" i="16"/>
  <c r="G172" i="16" s="1"/>
  <c r="K173" i="16"/>
  <c r="G174" i="16" s="1"/>
  <c r="G176" i="16" s="1"/>
  <c r="G187" i="16" s="1"/>
  <c r="G189" i="16" s="1"/>
  <c r="R3" i="6" l="1"/>
  <c r="G7" i="6" s="1"/>
  <c r="G9" i="6" s="1"/>
  <c r="F15" i="6" l="1"/>
  <c r="D22" i="6" l="1"/>
  <c r="G5" i="13"/>
  <c r="G6" i="13"/>
  <c r="G7" i="13"/>
  <c r="G8" i="13"/>
  <c r="G9" i="13"/>
  <c r="G10" i="13"/>
  <c r="G11" i="13"/>
  <c r="G12" i="13"/>
  <c r="G13" i="13"/>
  <c r="G14" i="13"/>
  <c r="G15" i="13"/>
  <c r="G16" i="13"/>
  <c r="G17" i="13"/>
  <c r="G18" i="13"/>
  <c r="G19" i="13"/>
  <c r="G20" i="13"/>
  <c r="G21" i="13"/>
  <c r="G22" i="13"/>
  <c r="G23" i="13"/>
  <c r="G24" i="13"/>
  <c r="G25" i="13"/>
  <c r="G4" i="13"/>
  <c r="F26" i="13"/>
  <c r="F25" i="13"/>
  <c r="F24" i="13"/>
  <c r="F23" i="13"/>
  <c r="F22" i="13"/>
  <c r="F21" i="13"/>
  <c r="F20" i="13"/>
  <c r="F19" i="13"/>
  <c r="F18" i="13"/>
  <c r="F17" i="13"/>
  <c r="F16" i="13"/>
  <c r="F15" i="13"/>
  <c r="F14" i="13"/>
  <c r="F13" i="13"/>
  <c r="F12" i="13"/>
  <c r="F11" i="13"/>
  <c r="F10" i="13"/>
  <c r="F9" i="13"/>
  <c r="F8" i="13"/>
  <c r="F7" i="13"/>
  <c r="F6" i="13"/>
  <c r="F5" i="13"/>
  <c r="F4" i="13"/>
  <c r="O26" i="13"/>
  <c r="K5" i="13"/>
  <c r="K6" i="13"/>
  <c r="K7" i="13"/>
  <c r="K8" i="13"/>
  <c r="K9" i="13"/>
  <c r="K10" i="13"/>
  <c r="K11" i="13"/>
  <c r="K12" i="13"/>
  <c r="K13" i="13"/>
  <c r="K14" i="13"/>
  <c r="K15" i="13"/>
  <c r="K16" i="13"/>
  <c r="K17" i="13"/>
  <c r="K18" i="13"/>
  <c r="K19" i="13"/>
  <c r="K20" i="13"/>
  <c r="K21" i="13"/>
  <c r="K22" i="13"/>
  <c r="K23" i="13"/>
  <c r="K24" i="13"/>
  <c r="K25" i="13"/>
  <c r="K26" i="13"/>
  <c r="K4" i="13"/>
  <c r="R3" i="13"/>
  <c r="S28" i="13" s="1"/>
  <c r="S3" i="13"/>
  <c r="D35" i="13"/>
  <c r="C35" i="13"/>
  <c r="B35" i="13"/>
  <c r="E33" i="13"/>
  <c r="Q33" i="13" s="1"/>
  <c r="E32" i="13"/>
  <c r="Q32" i="13" s="1"/>
  <c r="E31" i="13"/>
  <c r="Q31" i="13" s="1"/>
  <c r="E30" i="13"/>
  <c r="Q30" i="13" s="1"/>
  <c r="E29" i="13"/>
  <c r="Q29" i="13" s="1"/>
  <c r="E28" i="13"/>
  <c r="Q28" i="13" s="1"/>
  <c r="E27" i="13"/>
  <c r="Q27" i="13" s="1"/>
  <c r="B27" i="13" s="1"/>
  <c r="S26" i="13"/>
  <c r="R26" i="13"/>
  <c r="E26" i="13"/>
  <c r="S25" i="13"/>
  <c r="R25" i="13"/>
  <c r="O25" i="13"/>
  <c r="E25" i="13"/>
  <c r="S24" i="13"/>
  <c r="R24" i="13"/>
  <c r="O24" i="13"/>
  <c r="E24" i="13"/>
  <c r="S23" i="13"/>
  <c r="R23" i="13"/>
  <c r="O23" i="13"/>
  <c r="E23" i="13"/>
  <c r="S22" i="13"/>
  <c r="R22" i="13"/>
  <c r="O22" i="13"/>
  <c r="E22" i="13"/>
  <c r="S21" i="13"/>
  <c r="R21" i="13"/>
  <c r="O21" i="13"/>
  <c r="E21" i="13"/>
  <c r="S20" i="13"/>
  <c r="R20" i="13"/>
  <c r="O20" i="13"/>
  <c r="E20" i="13"/>
  <c r="S19" i="13"/>
  <c r="R19" i="13"/>
  <c r="O19" i="13"/>
  <c r="E19" i="13"/>
  <c r="S18" i="13"/>
  <c r="R18" i="13"/>
  <c r="O18" i="13"/>
  <c r="E18" i="13"/>
  <c r="S17" i="13"/>
  <c r="R17" i="13"/>
  <c r="O17" i="13"/>
  <c r="E17" i="13"/>
  <c r="S16" i="13"/>
  <c r="R16" i="13"/>
  <c r="O16" i="13"/>
  <c r="E16" i="13"/>
  <c r="S15" i="13"/>
  <c r="R15" i="13"/>
  <c r="O15" i="13"/>
  <c r="E15" i="13"/>
  <c r="S14" i="13"/>
  <c r="R14" i="13"/>
  <c r="O14" i="13"/>
  <c r="E14" i="13"/>
  <c r="U13" i="13"/>
  <c r="T13" i="13"/>
  <c r="S13" i="13"/>
  <c r="R13" i="13"/>
  <c r="O13" i="13"/>
  <c r="E13" i="13"/>
  <c r="U12" i="13"/>
  <c r="T12" i="13"/>
  <c r="S12" i="13"/>
  <c r="R12" i="13"/>
  <c r="O12" i="13"/>
  <c r="E12" i="13"/>
  <c r="U11" i="13"/>
  <c r="T11" i="13"/>
  <c r="S11" i="13"/>
  <c r="R11" i="13"/>
  <c r="O11" i="13"/>
  <c r="E11" i="13"/>
  <c r="U10" i="13"/>
  <c r="T10" i="13"/>
  <c r="S10" i="13"/>
  <c r="R10" i="13"/>
  <c r="O10" i="13"/>
  <c r="E10" i="13"/>
  <c r="U9" i="13"/>
  <c r="T9" i="13"/>
  <c r="S9" i="13"/>
  <c r="R9" i="13"/>
  <c r="O9" i="13"/>
  <c r="E9" i="13"/>
  <c r="U8" i="13"/>
  <c r="T8" i="13"/>
  <c r="S8" i="13"/>
  <c r="R8" i="13"/>
  <c r="O8" i="13"/>
  <c r="E8" i="13"/>
  <c r="S7" i="13"/>
  <c r="R7" i="13"/>
  <c r="O7" i="13"/>
  <c r="E7" i="13"/>
  <c r="S6" i="13"/>
  <c r="R6" i="13"/>
  <c r="O6" i="13"/>
  <c r="E6" i="13"/>
  <c r="S5" i="13"/>
  <c r="R5" i="13"/>
  <c r="O5" i="13"/>
  <c r="E5" i="13"/>
  <c r="S4" i="13"/>
  <c r="R4" i="13"/>
  <c r="O4" i="13"/>
  <c r="E4" i="13"/>
  <c r="F4" i="11"/>
  <c r="U17" i="11"/>
  <c r="U18" i="11"/>
  <c r="U19" i="11"/>
  <c r="U16" i="11"/>
  <c r="T16" i="11"/>
  <c r="T17" i="11"/>
  <c r="T18" i="11"/>
  <c r="T19" i="11"/>
  <c r="U15" i="11"/>
  <c r="T15" i="11"/>
  <c r="T14" i="11"/>
  <c r="U14" i="11"/>
  <c r="E4" i="11"/>
  <c r="I3" i="11"/>
  <c r="C2" i="17" s="1"/>
  <c r="E34" i="12"/>
  <c r="G34" i="12" s="1"/>
  <c r="E33" i="12"/>
  <c r="G33" i="12" s="1"/>
  <c r="E32" i="12"/>
  <c r="G32" i="12" s="1"/>
  <c r="E31" i="12"/>
  <c r="G31" i="12" s="1"/>
  <c r="E30" i="12"/>
  <c r="G30" i="12" s="1"/>
  <c r="E29" i="12"/>
  <c r="G29" i="12" s="1"/>
  <c r="E28" i="12"/>
  <c r="G28" i="12" s="1"/>
  <c r="B28" i="12" s="1"/>
  <c r="F27" i="12"/>
  <c r="E27" i="12"/>
  <c r="F26" i="12"/>
  <c r="E26" i="12"/>
  <c r="F25" i="12"/>
  <c r="E25" i="12"/>
  <c r="F24" i="12"/>
  <c r="E24" i="12"/>
  <c r="F23" i="12"/>
  <c r="E23" i="12"/>
  <c r="F22" i="12"/>
  <c r="E22" i="12"/>
  <c r="F21" i="12"/>
  <c r="E21" i="12"/>
  <c r="F20" i="12"/>
  <c r="E20" i="12"/>
  <c r="F19" i="12"/>
  <c r="E19" i="12"/>
  <c r="F18" i="12"/>
  <c r="E18" i="12"/>
  <c r="F17" i="12"/>
  <c r="E17" i="12"/>
  <c r="F16" i="12"/>
  <c r="E16" i="12"/>
  <c r="F15" i="12"/>
  <c r="E15" i="12"/>
  <c r="F14" i="12"/>
  <c r="E14" i="12"/>
  <c r="F13" i="12"/>
  <c r="E13" i="12"/>
  <c r="F12" i="12"/>
  <c r="E12" i="12"/>
  <c r="F11" i="12"/>
  <c r="E11" i="12"/>
  <c r="F10" i="12"/>
  <c r="E10" i="12"/>
  <c r="F9" i="12"/>
  <c r="E9" i="12"/>
  <c r="F8" i="12"/>
  <c r="E8" i="12"/>
  <c r="F7" i="12"/>
  <c r="E7" i="12"/>
  <c r="F6" i="12"/>
  <c r="E6" i="12"/>
  <c r="F5" i="12"/>
  <c r="E5" i="12"/>
  <c r="F4" i="12"/>
  <c r="E4" i="12"/>
  <c r="F70" i="8"/>
  <c r="B75" i="8" s="1"/>
  <c r="F23" i="6" l="1"/>
  <c r="Q103" i="15"/>
  <c r="R103" i="15" s="1"/>
  <c r="J103" i="15"/>
  <c r="M12" i="25"/>
  <c r="F17" i="25" s="1"/>
  <c r="M13" i="25"/>
  <c r="F20" i="25" s="1"/>
  <c r="F22" i="6"/>
  <c r="I105" i="15"/>
  <c r="J104" i="15" s="1"/>
  <c r="E22" i="6"/>
  <c r="G11" i="6" s="1"/>
  <c r="G10" i="6"/>
  <c r="T80" i="13"/>
  <c r="T22" i="13"/>
  <c r="T28" i="13"/>
  <c r="B28" i="13"/>
  <c r="B36" i="13"/>
  <c r="C36" i="13" s="1"/>
  <c r="F28" i="12"/>
  <c r="B29" i="12"/>
  <c r="F11" i="25" l="1"/>
  <c r="O104" i="15"/>
  <c r="K11" i="25" s="1"/>
  <c r="K104" i="15"/>
  <c r="G11" i="25" s="1"/>
  <c r="L104" i="15"/>
  <c r="H11" i="25" s="1"/>
  <c r="N104" i="15"/>
  <c r="J11" i="25" s="1"/>
  <c r="M104" i="15"/>
  <c r="I11" i="25" s="1"/>
  <c r="B37" i="13"/>
  <c r="C37" i="13" s="1"/>
  <c r="B29" i="13"/>
  <c r="F29" i="12"/>
  <c r="B30" i="12"/>
  <c r="O107" i="15" l="1"/>
  <c r="H19" i="25"/>
  <c r="J19" i="25"/>
  <c r="K19" i="25"/>
  <c r="I19" i="25"/>
  <c r="G19" i="25"/>
  <c r="F19" i="25"/>
  <c r="B30" i="13"/>
  <c r="B38" i="13"/>
  <c r="C38" i="13" s="1"/>
  <c r="B31" i="12"/>
  <c r="F30" i="12"/>
  <c r="B31" i="13" l="1"/>
  <c r="B39" i="13"/>
  <c r="C39" i="13" s="1"/>
  <c r="F31" i="12"/>
  <c r="B32" i="12"/>
  <c r="B40" i="13" l="1"/>
  <c r="C40" i="13" s="1"/>
  <c r="B32" i="13"/>
  <c r="B33" i="12"/>
  <c r="F32" i="12"/>
  <c r="E4" i="8"/>
  <c r="B41" i="13" l="1"/>
  <c r="C41" i="13" s="1"/>
  <c r="D36" i="13" s="1"/>
  <c r="B33" i="13"/>
  <c r="B34" i="12"/>
  <c r="F34" i="12" s="1"/>
  <c r="F33" i="12"/>
  <c r="E34" i="10"/>
  <c r="G34" i="10" s="1"/>
  <c r="E33" i="10"/>
  <c r="G33" i="10" s="1"/>
  <c r="E32" i="10"/>
  <c r="G32" i="10" s="1"/>
  <c r="E31" i="10"/>
  <c r="G31" i="10" s="1"/>
  <c r="E30" i="10"/>
  <c r="G30" i="10" s="1"/>
  <c r="E29" i="10"/>
  <c r="G29" i="10" s="1"/>
  <c r="E28" i="10"/>
  <c r="G28" i="10" s="1"/>
  <c r="B28" i="10" s="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J13" i="9"/>
  <c r="J5" i="9"/>
  <c r="B29" i="10" l="1"/>
  <c r="B30" i="10" s="1"/>
  <c r="B31" i="10" s="1"/>
  <c r="B32" i="10" s="1"/>
  <c r="B33" i="10"/>
  <c r="B34" i="10" s="1"/>
  <c r="F34" i="10" s="1"/>
  <c r="T28" i="11"/>
  <c r="B42" i="13"/>
  <c r="U93" i="11"/>
  <c r="F33" i="10"/>
  <c r="F32" i="10"/>
  <c r="F31" i="10"/>
  <c r="F30" i="10"/>
  <c r="F29" i="10"/>
  <c r="F28" i="10"/>
  <c r="E33" i="11"/>
  <c r="J3" i="11" l="1"/>
  <c r="D48" i="11"/>
  <c r="G33" i="11"/>
  <c r="B33" i="11" s="1"/>
  <c r="I4" i="11" s="1"/>
  <c r="J4" i="11" s="1"/>
  <c r="E34" i="11"/>
  <c r="E9" i="17" l="1"/>
  <c r="F8" i="17"/>
  <c r="C8" i="17"/>
  <c r="D6" i="17"/>
  <c r="I36" i="15" s="1"/>
  <c r="E8" i="17"/>
  <c r="E6" i="17"/>
  <c r="I24" i="15" s="1"/>
  <c r="F6" i="17"/>
  <c r="I48" i="15" s="1"/>
  <c r="D10" i="17"/>
  <c r="I75" i="15" s="1"/>
  <c r="C6" i="17"/>
  <c r="I12" i="15" s="1"/>
  <c r="E10" i="17"/>
  <c r="I65" i="15" s="1"/>
  <c r="J2" i="17"/>
  <c r="F10" i="17"/>
  <c r="I85" i="15" s="1"/>
  <c r="D8" i="17"/>
  <c r="C10" i="17"/>
  <c r="I55" i="15" s="1"/>
  <c r="D9" i="17"/>
  <c r="C9" i="17"/>
  <c r="F9" i="17"/>
  <c r="C3" i="6"/>
  <c r="F33" i="11"/>
  <c r="G34" i="11"/>
  <c r="B34" i="11" s="1"/>
  <c r="E35" i="11"/>
  <c r="G35" i="11" s="1"/>
  <c r="F5" i="10"/>
  <c r="F6" i="10"/>
  <c r="F7" i="10"/>
  <c r="F8" i="10"/>
  <c r="F9" i="10"/>
  <c r="F10" i="10"/>
  <c r="F11" i="10"/>
  <c r="F12" i="10"/>
  <c r="F13" i="10"/>
  <c r="F14" i="10"/>
  <c r="F15" i="10"/>
  <c r="F16" i="10"/>
  <c r="F17" i="10"/>
  <c r="F18" i="10"/>
  <c r="F19" i="10"/>
  <c r="F20" i="10"/>
  <c r="F21" i="10"/>
  <c r="F22" i="10"/>
  <c r="F23" i="10"/>
  <c r="F24" i="10"/>
  <c r="F25" i="10"/>
  <c r="F26" i="10"/>
  <c r="F27" i="10"/>
  <c r="F4" i="10"/>
  <c r="F4" i="8"/>
  <c r="E5" i="10"/>
  <c r="E6" i="10"/>
  <c r="E7" i="10"/>
  <c r="E8" i="10"/>
  <c r="E9" i="10"/>
  <c r="E10" i="10"/>
  <c r="E11" i="10"/>
  <c r="E12" i="10"/>
  <c r="E13" i="10"/>
  <c r="E14" i="10"/>
  <c r="E15" i="10"/>
  <c r="E16" i="10"/>
  <c r="E17" i="10"/>
  <c r="E18" i="10"/>
  <c r="E19" i="10"/>
  <c r="E20" i="10"/>
  <c r="E21" i="10"/>
  <c r="E22" i="10"/>
  <c r="E23" i="10"/>
  <c r="E24" i="10"/>
  <c r="E25" i="10"/>
  <c r="E26" i="10"/>
  <c r="E27" i="10"/>
  <c r="E4" i="10"/>
  <c r="F27" i="8"/>
  <c r="F25" i="8"/>
  <c r="F20" i="8"/>
  <c r="H19" i="8"/>
  <c r="K19" i="8" s="1"/>
  <c r="H11" i="8"/>
  <c r="K11" i="8" s="1"/>
  <c r="H5" i="8"/>
  <c r="D26" i="9"/>
  <c r="D25" i="9"/>
  <c r="D24" i="9"/>
  <c r="D23" i="9"/>
  <c r="D22" i="9"/>
  <c r="D21" i="9"/>
  <c r="D20" i="9"/>
  <c r="D19" i="9"/>
  <c r="D18" i="9"/>
  <c r="D17" i="9"/>
  <c r="D16" i="9"/>
  <c r="D15" i="9"/>
  <c r="D14" i="9"/>
  <c r="D13" i="9"/>
  <c r="D12" i="9"/>
  <c r="D11" i="9"/>
  <c r="D10" i="9"/>
  <c r="D9" i="9"/>
  <c r="D8" i="9"/>
  <c r="D7" i="9"/>
  <c r="D6" i="9"/>
  <c r="D5" i="9"/>
  <c r="D4" i="9"/>
  <c r="D3" i="9"/>
  <c r="D2" i="9"/>
  <c r="E4" i="7"/>
  <c r="E77" i="8"/>
  <c r="K75" i="8"/>
  <c r="J75" i="8"/>
  <c r="I75" i="8"/>
  <c r="F72" i="8"/>
  <c r="E72" i="8"/>
  <c r="G72" i="8" s="1"/>
  <c r="H72" i="8" s="1"/>
  <c r="F71" i="8"/>
  <c r="E71" i="8"/>
  <c r="G71" i="8" s="1"/>
  <c r="H71" i="8" s="1"/>
  <c r="E70" i="8"/>
  <c r="H69" i="8"/>
  <c r="F69" i="8"/>
  <c r="E69" i="8"/>
  <c r="H68" i="8"/>
  <c r="K68" i="8" s="1"/>
  <c r="F68" i="8"/>
  <c r="E68" i="8"/>
  <c r="H67" i="8"/>
  <c r="K67" i="8" s="1"/>
  <c r="F67" i="8"/>
  <c r="E67" i="8"/>
  <c r="H66" i="8"/>
  <c r="I66" i="8" s="1"/>
  <c r="J66" i="8" s="1"/>
  <c r="F66" i="8"/>
  <c r="E66" i="8"/>
  <c r="H65" i="8"/>
  <c r="K65" i="8" s="1"/>
  <c r="F65" i="8"/>
  <c r="E65" i="8"/>
  <c r="H64" i="8"/>
  <c r="K64" i="8" s="1"/>
  <c r="F64" i="8"/>
  <c r="E64" i="8"/>
  <c r="H63" i="8"/>
  <c r="K63" i="8" s="1"/>
  <c r="F63" i="8"/>
  <c r="E63" i="8"/>
  <c r="H62" i="8"/>
  <c r="I62" i="8" s="1"/>
  <c r="J62" i="8" s="1"/>
  <c r="F62" i="8"/>
  <c r="E62" i="8"/>
  <c r="H61" i="8"/>
  <c r="K61" i="8" s="1"/>
  <c r="F61" i="8"/>
  <c r="E61" i="8"/>
  <c r="H60" i="8"/>
  <c r="K60" i="8" s="1"/>
  <c r="F60" i="8"/>
  <c r="E60" i="8"/>
  <c r="H59" i="8"/>
  <c r="K59" i="8" s="1"/>
  <c r="F59" i="8"/>
  <c r="E59" i="8"/>
  <c r="H58" i="8"/>
  <c r="I58" i="8" s="1"/>
  <c r="J58" i="8" s="1"/>
  <c r="F58" i="8"/>
  <c r="E58" i="8"/>
  <c r="H57" i="8"/>
  <c r="K57" i="8" s="1"/>
  <c r="F57" i="8"/>
  <c r="E57" i="8"/>
  <c r="H56" i="8"/>
  <c r="K56" i="8" s="1"/>
  <c r="F56" i="8"/>
  <c r="E56" i="8"/>
  <c r="H55" i="8"/>
  <c r="K55" i="8" s="1"/>
  <c r="F55" i="8"/>
  <c r="E55" i="8"/>
  <c r="H54" i="8"/>
  <c r="F54" i="8"/>
  <c r="E54" i="8"/>
  <c r="H53" i="8"/>
  <c r="K53" i="8" s="1"/>
  <c r="F53" i="8"/>
  <c r="E53" i="8"/>
  <c r="H52" i="8"/>
  <c r="K52" i="8" s="1"/>
  <c r="F52" i="8"/>
  <c r="E52" i="8"/>
  <c r="H51" i="8"/>
  <c r="K51" i="8" s="1"/>
  <c r="F51" i="8"/>
  <c r="E51" i="8"/>
  <c r="H50" i="8"/>
  <c r="I50" i="8" s="1"/>
  <c r="J50" i="8" s="1"/>
  <c r="F50" i="8"/>
  <c r="E50" i="8"/>
  <c r="H49" i="8"/>
  <c r="K49" i="8" s="1"/>
  <c r="F49" i="8"/>
  <c r="E49" i="8"/>
  <c r="H48" i="8"/>
  <c r="K48" i="8" s="1"/>
  <c r="F48" i="8"/>
  <c r="E48" i="8"/>
  <c r="H47" i="8"/>
  <c r="K47" i="8" s="1"/>
  <c r="F47" i="8"/>
  <c r="E47" i="8"/>
  <c r="H46" i="8"/>
  <c r="F46" i="8"/>
  <c r="E46" i="8"/>
  <c r="H45" i="8"/>
  <c r="K45" i="8" s="1"/>
  <c r="F45" i="8"/>
  <c r="E45" i="8"/>
  <c r="H44" i="8"/>
  <c r="K44" i="8" s="1"/>
  <c r="F44" i="8"/>
  <c r="E44" i="8"/>
  <c r="H43" i="8"/>
  <c r="K43" i="8" s="1"/>
  <c r="F43" i="8"/>
  <c r="E43" i="8"/>
  <c r="H42" i="8"/>
  <c r="I42" i="8" s="1"/>
  <c r="J42" i="8" s="1"/>
  <c r="F42" i="8"/>
  <c r="E42" i="8"/>
  <c r="H41" i="8"/>
  <c r="I41" i="8" s="1"/>
  <c r="J41" i="8" s="1"/>
  <c r="F41" i="8"/>
  <c r="E41" i="8"/>
  <c r="H40" i="8"/>
  <c r="F40" i="8"/>
  <c r="E40" i="8"/>
  <c r="H39" i="8"/>
  <c r="K39" i="8" s="1"/>
  <c r="F39" i="8"/>
  <c r="E39" i="8"/>
  <c r="H38" i="8"/>
  <c r="I38" i="8" s="1"/>
  <c r="J38" i="8" s="1"/>
  <c r="F38" i="8"/>
  <c r="E38" i="8"/>
  <c r="H37" i="8"/>
  <c r="K37" i="8" s="1"/>
  <c r="F37" i="8"/>
  <c r="E37" i="8"/>
  <c r="H36" i="8"/>
  <c r="K36" i="8" s="1"/>
  <c r="F36" i="8"/>
  <c r="E36" i="8"/>
  <c r="H35" i="8"/>
  <c r="K35" i="8" s="1"/>
  <c r="F35" i="8"/>
  <c r="E35" i="8"/>
  <c r="H34" i="8"/>
  <c r="F34" i="8"/>
  <c r="E34" i="8"/>
  <c r="H33" i="8"/>
  <c r="I33" i="8" s="1"/>
  <c r="J33" i="8" s="1"/>
  <c r="F33" i="8"/>
  <c r="E33" i="8"/>
  <c r="H32" i="8"/>
  <c r="K32" i="8" s="1"/>
  <c r="F32" i="8"/>
  <c r="E32" i="8"/>
  <c r="H31" i="8"/>
  <c r="K31" i="8" s="1"/>
  <c r="F31" i="8"/>
  <c r="E31" i="8"/>
  <c r="H30" i="8"/>
  <c r="I30" i="8" s="1"/>
  <c r="J30" i="8" s="1"/>
  <c r="F30" i="8"/>
  <c r="E30" i="8"/>
  <c r="H29" i="8"/>
  <c r="K29" i="8" s="1"/>
  <c r="F29" i="8"/>
  <c r="E29" i="8"/>
  <c r="H28" i="8"/>
  <c r="K28" i="8" s="1"/>
  <c r="F28" i="8"/>
  <c r="E28" i="8"/>
  <c r="H27" i="8"/>
  <c r="K27" i="8" s="1"/>
  <c r="E27" i="8"/>
  <c r="F26" i="8"/>
  <c r="E26" i="8"/>
  <c r="H25" i="8"/>
  <c r="K25" i="8" s="1"/>
  <c r="E25" i="8"/>
  <c r="H24" i="8"/>
  <c r="K24" i="8" s="1"/>
  <c r="F24" i="8"/>
  <c r="E24" i="8"/>
  <c r="H23" i="8"/>
  <c r="K23" i="8" s="1"/>
  <c r="F23" i="8"/>
  <c r="E23" i="8"/>
  <c r="H22" i="8"/>
  <c r="I22" i="8" s="1"/>
  <c r="J22" i="8" s="1"/>
  <c r="F22" i="8"/>
  <c r="E22" i="8"/>
  <c r="E21" i="8"/>
  <c r="H20" i="8"/>
  <c r="E20" i="8"/>
  <c r="E19" i="8"/>
  <c r="H18" i="8"/>
  <c r="I18" i="8" s="1"/>
  <c r="J18" i="8" s="1"/>
  <c r="F18" i="8"/>
  <c r="E18" i="8"/>
  <c r="H17" i="8"/>
  <c r="I17" i="8" s="1"/>
  <c r="J17" i="8" s="1"/>
  <c r="E17" i="8"/>
  <c r="H16" i="8"/>
  <c r="K16" i="8" s="1"/>
  <c r="F16" i="8"/>
  <c r="E16" i="8"/>
  <c r="H15" i="8"/>
  <c r="K15" i="8" s="1"/>
  <c r="F15" i="8"/>
  <c r="E15" i="8"/>
  <c r="H14" i="8"/>
  <c r="I14" i="8" s="1"/>
  <c r="J14" i="8" s="1"/>
  <c r="F14" i="8"/>
  <c r="E14" i="8"/>
  <c r="F13" i="8"/>
  <c r="E13" i="8"/>
  <c r="H12" i="8"/>
  <c r="I12" i="8" s="1"/>
  <c r="J12" i="8" s="1"/>
  <c r="E12" i="8"/>
  <c r="F11" i="8"/>
  <c r="E11" i="8"/>
  <c r="H10" i="8"/>
  <c r="I10" i="8" s="1"/>
  <c r="J10" i="8" s="1"/>
  <c r="F10" i="8"/>
  <c r="E10" i="8"/>
  <c r="H9" i="8"/>
  <c r="K9" i="8" s="1"/>
  <c r="F9" i="8"/>
  <c r="E9" i="8"/>
  <c r="H8" i="8"/>
  <c r="K8" i="8" s="1"/>
  <c r="F8" i="8"/>
  <c r="E8" i="8"/>
  <c r="H7" i="8"/>
  <c r="K7" i="8" s="1"/>
  <c r="F7" i="8"/>
  <c r="E7" i="8"/>
  <c r="H6" i="8"/>
  <c r="I6" i="8" s="1"/>
  <c r="J6" i="8" s="1"/>
  <c r="F6" i="8"/>
  <c r="E6" i="8"/>
  <c r="E5" i="8"/>
  <c r="H4" i="8"/>
  <c r="E107" i="7"/>
  <c r="K105" i="7"/>
  <c r="J105" i="7"/>
  <c r="I105" i="7"/>
  <c r="F72" i="7"/>
  <c r="E72" i="7"/>
  <c r="G72" i="7" s="1"/>
  <c r="H72" i="7" s="1"/>
  <c r="F71" i="7"/>
  <c r="E71" i="7"/>
  <c r="G71" i="7" s="1"/>
  <c r="H71" i="7" s="1"/>
  <c r="F70" i="7"/>
  <c r="E70" i="7"/>
  <c r="G70" i="7" s="1"/>
  <c r="H70" i="7" s="1"/>
  <c r="H69" i="7"/>
  <c r="F69" i="7"/>
  <c r="E69" i="7"/>
  <c r="H68" i="7"/>
  <c r="I68" i="7" s="1"/>
  <c r="J68" i="7" s="1"/>
  <c r="F68" i="7"/>
  <c r="E68" i="7"/>
  <c r="H67" i="7"/>
  <c r="K67" i="7" s="1"/>
  <c r="F67" i="7"/>
  <c r="E67" i="7"/>
  <c r="H66" i="7"/>
  <c r="I66" i="7" s="1"/>
  <c r="J66" i="7" s="1"/>
  <c r="F66" i="7"/>
  <c r="E66" i="7"/>
  <c r="H65" i="7"/>
  <c r="K65" i="7" s="1"/>
  <c r="F65" i="7"/>
  <c r="E65" i="7"/>
  <c r="H64" i="7"/>
  <c r="K64" i="7" s="1"/>
  <c r="F64" i="7"/>
  <c r="E64" i="7"/>
  <c r="H63" i="7"/>
  <c r="K63" i="7" s="1"/>
  <c r="F63" i="7"/>
  <c r="E63" i="7"/>
  <c r="H62" i="7"/>
  <c r="I62" i="7" s="1"/>
  <c r="J62" i="7" s="1"/>
  <c r="F62" i="7"/>
  <c r="E62" i="7"/>
  <c r="H61" i="7"/>
  <c r="K61" i="7" s="1"/>
  <c r="F61" i="7"/>
  <c r="E61" i="7"/>
  <c r="H60" i="7"/>
  <c r="I60" i="7" s="1"/>
  <c r="J60" i="7" s="1"/>
  <c r="F60" i="7"/>
  <c r="E60" i="7"/>
  <c r="H59" i="7"/>
  <c r="K59" i="7" s="1"/>
  <c r="F59" i="7"/>
  <c r="E59" i="7"/>
  <c r="H58" i="7"/>
  <c r="F58" i="7"/>
  <c r="E58" i="7"/>
  <c r="H57" i="7"/>
  <c r="K57" i="7" s="1"/>
  <c r="F57" i="7"/>
  <c r="E57" i="7"/>
  <c r="H56" i="7"/>
  <c r="I56" i="7" s="1"/>
  <c r="J56" i="7" s="1"/>
  <c r="F56" i="7"/>
  <c r="E56" i="7"/>
  <c r="H55" i="7"/>
  <c r="K55" i="7" s="1"/>
  <c r="F55" i="7"/>
  <c r="E55" i="7"/>
  <c r="H54" i="7"/>
  <c r="I54" i="7" s="1"/>
  <c r="J54" i="7" s="1"/>
  <c r="F54" i="7"/>
  <c r="E54" i="7"/>
  <c r="H53" i="7"/>
  <c r="K53" i="7" s="1"/>
  <c r="F53" i="7"/>
  <c r="E53" i="7"/>
  <c r="H52" i="7"/>
  <c r="K52" i="7" s="1"/>
  <c r="F52" i="7"/>
  <c r="E52" i="7"/>
  <c r="H51" i="7"/>
  <c r="K51" i="7" s="1"/>
  <c r="F51" i="7"/>
  <c r="E51" i="7"/>
  <c r="H50" i="7"/>
  <c r="I50" i="7" s="1"/>
  <c r="J50" i="7" s="1"/>
  <c r="F50" i="7"/>
  <c r="E50" i="7"/>
  <c r="H49" i="7"/>
  <c r="F49" i="7"/>
  <c r="E49" i="7"/>
  <c r="H48" i="7"/>
  <c r="I48" i="7" s="1"/>
  <c r="J48" i="7" s="1"/>
  <c r="F48" i="7"/>
  <c r="E48" i="7"/>
  <c r="H47" i="7"/>
  <c r="K47" i="7" s="1"/>
  <c r="F47" i="7"/>
  <c r="E47" i="7"/>
  <c r="H46" i="7"/>
  <c r="I46" i="7" s="1"/>
  <c r="J46" i="7" s="1"/>
  <c r="F46" i="7"/>
  <c r="E46" i="7"/>
  <c r="H45" i="7"/>
  <c r="K45" i="7" s="1"/>
  <c r="F45" i="7"/>
  <c r="E45" i="7"/>
  <c r="H44" i="7"/>
  <c r="K44" i="7" s="1"/>
  <c r="F44" i="7"/>
  <c r="E44" i="7"/>
  <c r="H43" i="7"/>
  <c r="K43" i="7" s="1"/>
  <c r="F43" i="7"/>
  <c r="E43" i="7"/>
  <c r="H42" i="7"/>
  <c r="I42" i="7" s="1"/>
  <c r="J42" i="7" s="1"/>
  <c r="F42" i="7"/>
  <c r="E42" i="7"/>
  <c r="H41" i="7"/>
  <c r="K41" i="7" s="1"/>
  <c r="F41" i="7"/>
  <c r="E41" i="7"/>
  <c r="H40" i="7"/>
  <c r="K40" i="7" s="1"/>
  <c r="F40" i="7"/>
  <c r="E40" i="7"/>
  <c r="H39" i="7"/>
  <c r="K39" i="7" s="1"/>
  <c r="F39" i="7"/>
  <c r="E39" i="7"/>
  <c r="H38" i="7"/>
  <c r="F38" i="7"/>
  <c r="E38" i="7"/>
  <c r="H37" i="7"/>
  <c r="I37" i="7" s="1"/>
  <c r="J37" i="7" s="1"/>
  <c r="F37" i="7"/>
  <c r="E37" i="7"/>
  <c r="H36" i="7"/>
  <c r="I36" i="7" s="1"/>
  <c r="J36" i="7" s="1"/>
  <c r="F36" i="7"/>
  <c r="E36" i="7"/>
  <c r="H35" i="7"/>
  <c r="K35" i="7" s="1"/>
  <c r="F35" i="7"/>
  <c r="E35" i="7"/>
  <c r="H34" i="7"/>
  <c r="I34" i="7" s="1"/>
  <c r="J34" i="7" s="1"/>
  <c r="F34" i="7"/>
  <c r="E34" i="7"/>
  <c r="H33" i="7"/>
  <c r="K33" i="7" s="1"/>
  <c r="F33" i="7"/>
  <c r="E33" i="7"/>
  <c r="H32" i="7"/>
  <c r="I32" i="7" s="1"/>
  <c r="J32" i="7" s="1"/>
  <c r="F32" i="7"/>
  <c r="E32" i="7"/>
  <c r="H31" i="7"/>
  <c r="K31" i="7" s="1"/>
  <c r="F31" i="7"/>
  <c r="E31" i="7"/>
  <c r="H30" i="7"/>
  <c r="I30" i="7" s="1"/>
  <c r="J30" i="7" s="1"/>
  <c r="F30" i="7"/>
  <c r="E30" i="7"/>
  <c r="H29" i="7"/>
  <c r="K29" i="7" s="1"/>
  <c r="F29" i="7"/>
  <c r="E29" i="7"/>
  <c r="H28" i="7"/>
  <c r="I28" i="7" s="1"/>
  <c r="J28" i="7" s="1"/>
  <c r="F28" i="7"/>
  <c r="E28" i="7"/>
  <c r="H27" i="7"/>
  <c r="K27" i="7" s="1"/>
  <c r="F27" i="7"/>
  <c r="E27" i="7"/>
  <c r="H26" i="7"/>
  <c r="I26" i="7" s="1"/>
  <c r="J26" i="7" s="1"/>
  <c r="F26" i="7"/>
  <c r="E26" i="7"/>
  <c r="H25" i="7"/>
  <c r="K25" i="7" s="1"/>
  <c r="F25" i="7"/>
  <c r="E25" i="7"/>
  <c r="H24" i="7"/>
  <c r="K24" i="7" s="1"/>
  <c r="F24" i="7"/>
  <c r="E24" i="7"/>
  <c r="H23" i="7"/>
  <c r="K23" i="7" s="1"/>
  <c r="F23" i="7"/>
  <c r="E23" i="7"/>
  <c r="H22" i="7"/>
  <c r="I22" i="7" s="1"/>
  <c r="J22" i="7" s="1"/>
  <c r="F22" i="7"/>
  <c r="E22" i="7"/>
  <c r="H21" i="7"/>
  <c r="K21" i="7" s="1"/>
  <c r="F21" i="7"/>
  <c r="E21" i="7"/>
  <c r="H20" i="7"/>
  <c r="I20" i="7" s="1"/>
  <c r="J20" i="7" s="1"/>
  <c r="F20" i="7"/>
  <c r="E20" i="7"/>
  <c r="H19" i="7"/>
  <c r="K19" i="7" s="1"/>
  <c r="F19" i="7"/>
  <c r="E19" i="7"/>
  <c r="H18" i="7"/>
  <c r="I18" i="7" s="1"/>
  <c r="J18" i="7" s="1"/>
  <c r="F18" i="7"/>
  <c r="E18" i="7"/>
  <c r="H17" i="7"/>
  <c r="I17" i="7" s="1"/>
  <c r="J17" i="7" s="1"/>
  <c r="F17" i="7"/>
  <c r="E17" i="7"/>
  <c r="H16" i="7"/>
  <c r="K16" i="7" s="1"/>
  <c r="F16" i="7"/>
  <c r="E16" i="7"/>
  <c r="H15" i="7"/>
  <c r="K15" i="7" s="1"/>
  <c r="F15" i="7"/>
  <c r="E15" i="7"/>
  <c r="H14" i="7"/>
  <c r="I14" i="7" s="1"/>
  <c r="J14" i="7" s="1"/>
  <c r="F14" i="7"/>
  <c r="E14" i="7"/>
  <c r="H13" i="7"/>
  <c r="K13" i="7" s="1"/>
  <c r="F13" i="7"/>
  <c r="E13" i="7"/>
  <c r="H12" i="7"/>
  <c r="K12" i="7" s="1"/>
  <c r="F12" i="7"/>
  <c r="E12" i="7"/>
  <c r="H11" i="7"/>
  <c r="K11" i="7" s="1"/>
  <c r="F11" i="7"/>
  <c r="E11" i="7"/>
  <c r="H10" i="7"/>
  <c r="I10" i="7" s="1"/>
  <c r="J10" i="7" s="1"/>
  <c r="F10" i="7"/>
  <c r="E10" i="7"/>
  <c r="H9" i="7"/>
  <c r="I9" i="7" s="1"/>
  <c r="J9" i="7" s="1"/>
  <c r="F9" i="7"/>
  <c r="E9" i="7"/>
  <c r="H8" i="7"/>
  <c r="I8" i="7" s="1"/>
  <c r="J8" i="7" s="1"/>
  <c r="F8" i="7"/>
  <c r="E8" i="7"/>
  <c r="H7" i="7"/>
  <c r="K7" i="7" s="1"/>
  <c r="F7" i="7"/>
  <c r="E7" i="7"/>
  <c r="H6" i="7"/>
  <c r="I6" i="7" s="1"/>
  <c r="J6" i="7" s="1"/>
  <c r="F6" i="7"/>
  <c r="E6" i="7"/>
  <c r="H5" i="7"/>
  <c r="I5" i="7" s="1"/>
  <c r="J5" i="7" s="1"/>
  <c r="F5" i="7"/>
  <c r="E5" i="7"/>
  <c r="H4" i="7"/>
  <c r="I4" i="7" s="1"/>
  <c r="F4" i="7"/>
  <c r="E11" i="25" l="1"/>
  <c r="E19" i="25" s="1"/>
  <c r="I54" i="15"/>
  <c r="J55" i="15"/>
  <c r="J54" i="15" s="1"/>
  <c r="I84" i="15"/>
  <c r="R23" i="15" s="1"/>
  <c r="J85" i="15"/>
  <c r="I64" i="15"/>
  <c r="R21" i="15" s="1"/>
  <c r="J65" i="15"/>
  <c r="J64" i="15" s="1"/>
  <c r="R10" i="15"/>
  <c r="R15" i="15" s="1"/>
  <c r="I15" i="15"/>
  <c r="J12" i="15"/>
  <c r="I74" i="15"/>
  <c r="R22" i="15" s="1"/>
  <c r="J75" i="15"/>
  <c r="R13" i="15"/>
  <c r="R18" i="15" s="1"/>
  <c r="I51" i="15"/>
  <c r="J48" i="15"/>
  <c r="R11" i="15"/>
  <c r="R16" i="15" s="1"/>
  <c r="I27" i="15"/>
  <c r="J24" i="15"/>
  <c r="R12" i="15"/>
  <c r="R17" i="15" s="1"/>
  <c r="I39" i="15"/>
  <c r="J36" i="15"/>
  <c r="I38" i="7"/>
  <c r="J38" i="7" s="1"/>
  <c r="K38" i="7"/>
  <c r="I49" i="7"/>
  <c r="J49" i="7" s="1"/>
  <c r="K49" i="7"/>
  <c r="I58" i="7"/>
  <c r="J58" i="7" s="1"/>
  <c r="K58" i="7"/>
  <c r="K69" i="7"/>
  <c r="I69" i="7"/>
  <c r="J69" i="7" s="1"/>
  <c r="I34" i="8"/>
  <c r="J34" i="8" s="1"/>
  <c r="K34" i="8"/>
  <c r="K40" i="8"/>
  <c r="I40" i="8"/>
  <c r="J40" i="8" s="1"/>
  <c r="I46" i="8"/>
  <c r="J46" i="8" s="1"/>
  <c r="K46" i="8"/>
  <c r="I54" i="8"/>
  <c r="J54" i="8" s="1"/>
  <c r="K54" i="8"/>
  <c r="K69" i="8"/>
  <c r="I69" i="8"/>
  <c r="J69" i="8" s="1"/>
  <c r="I55" i="24"/>
  <c r="I85" i="24"/>
  <c r="I65" i="24"/>
  <c r="I12" i="24"/>
  <c r="I75" i="24"/>
  <c r="I101" i="15"/>
  <c r="I48" i="24"/>
  <c r="I36" i="24"/>
  <c r="I24" i="24"/>
  <c r="I57" i="7"/>
  <c r="J57" i="7" s="1"/>
  <c r="K41" i="8"/>
  <c r="I45" i="8"/>
  <c r="J45" i="8" s="1"/>
  <c r="I52" i="8"/>
  <c r="J52" i="8" s="1"/>
  <c r="I65" i="8"/>
  <c r="J65" i="8" s="1"/>
  <c r="K58" i="8"/>
  <c r="K54" i="7"/>
  <c r="I32" i="8"/>
  <c r="J32" i="8" s="1"/>
  <c r="I65" i="7"/>
  <c r="J65" i="7" s="1"/>
  <c r="K5" i="7"/>
  <c r="K17" i="7"/>
  <c r="K50" i="8"/>
  <c r="I53" i="8"/>
  <c r="J53" i="8" s="1"/>
  <c r="I56" i="8"/>
  <c r="J56" i="8" s="1"/>
  <c r="K66" i="8"/>
  <c r="K66" i="7"/>
  <c r="K14" i="7"/>
  <c r="K37" i="7"/>
  <c r="K33" i="8"/>
  <c r="K9" i="7"/>
  <c r="I45" i="7"/>
  <c r="J45" i="7" s="1"/>
  <c r="I37" i="8"/>
  <c r="J37" i="8" s="1"/>
  <c r="I64" i="8"/>
  <c r="J64" i="8" s="1"/>
  <c r="K6" i="7"/>
  <c r="G70" i="8"/>
  <c r="H70" i="8" s="1"/>
  <c r="K26" i="7"/>
  <c r="K30" i="8"/>
  <c r="I36" i="8"/>
  <c r="J36" i="8" s="1"/>
  <c r="I49" i="8"/>
  <c r="J49" i="8" s="1"/>
  <c r="K62" i="8"/>
  <c r="I68" i="8"/>
  <c r="J68" i="8" s="1"/>
  <c r="I13" i="7"/>
  <c r="J13" i="7" s="1"/>
  <c r="K22" i="7"/>
  <c r="K34" i="7"/>
  <c r="K38" i="8"/>
  <c r="I44" i="8"/>
  <c r="J44" i="8" s="1"/>
  <c r="I57" i="8"/>
  <c r="J57" i="8" s="1"/>
  <c r="I29" i="8"/>
  <c r="J29" i="8" s="1"/>
  <c r="K42" i="8"/>
  <c r="I48" i="8"/>
  <c r="J48" i="8" s="1"/>
  <c r="I61" i="8"/>
  <c r="J61" i="8" s="1"/>
  <c r="I25" i="7"/>
  <c r="J25" i="7" s="1"/>
  <c r="K46" i="7"/>
  <c r="I33" i="7"/>
  <c r="J33" i="7" s="1"/>
  <c r="I60" i="8"/>
  <c r="J60" i="8" s="1"/>
  <c r="B35" i="11"/>
  <c r="F34" i="11"/>
  <c r="I5" i="11"/>
  <c r="J5" i="11" s="1"/>
  <c r="E36" i="11"/>
  <c r="G36" i="11" s="1"/>
  <c r="I8" i="8"/>
  <c r="J8" i="8" s="1"/>
  <c r="K10" i="8"/>
  <c r="K18" i="8"/>
  <c r="I24" i="8"/>
  <c r="J24" i="8" s="1"/>
  <c r="I25" i="8"/>
  <c r="J25" i="8" s="1"/>
  <c r="K17" i="8"/>
  <c r="K6" i="8"/>
  <c r="I5" i="8"/>
  <c r="J5" i="8" s="1"/>
  <c r="K5" i="8"/>
  <c r="I9" i="8"/>
  <c r="J9" i="8" s="1"/>
  <c r="H13" i="8"/>
  <c r="F17" i="8"/>
  <c r="K22" i="8"/>
  <c r="H26" i="8"/>
  <c r="I28" i="8"/>
  <c r="J28" i="8" s="1"/>
  <c r="K4" i="8"/>
  <c r="F19" i="8"/>
  <c r="F21" i="8"/>
  <c r="I4" i="8"/>
  <c r="J4" i="8" s="1"/>
  <c r="F12" i="8"/>
  <c r="H21" i="8"/>
  <c r="K12" i="8"/>
  <c r="F5" i="8"/>
  <c r="I16" i="8"/>
  <c r="J16" i="8" s="1"/>
  <c r="K20" i="8"/>
  <c r="K14" i="8"/>
  <c r="I20" i="8"/>
  <c r="J20" i="8" s="1"/>
  <c r="K18" i="7"/>
  <c r="I29" i="7"/>
  <c r="J29" i="7" s="1"/>
  <c r="K50" i="7"/>
  <c r="I61" i="7"/>
  <c r="J61" i="7" s="1"/>
  <c r="K10" i="7"/>
  <c r="I21" i="7"/>
  <c r="J21" i="7" s="1"/>
  <c r="K42" i="7"/>
  <c r="I53" i="7"/>
  <c r="J53" i="7" s="1"/>
  <c r="K30" i="7"/>
  <c r="I41" i="7"/>
  <c r="J41" i="7" s="1"/>
  <c r="K62" i="7"/>
  <c r="K71" i="8"/>
  <c r="I71" i="8"/>
  <c r="J71" i="8" s="1"/>
  <c r="H77" i="8"/>
  <c r="K72" i="8"/>
  <c r="H78" i="8"/>
  <c r="I72" i="8"/>
  <c r="J72" i="8" s="1"/>
  <c r="I7" i="8"/>
  <c r="J7" i="8" s="1"/>
  <c r="I11" i="8"/>
  <c r="J11" i="8" s="1"/>
  <c r="I15" i="8"/>
  <c r="J15" i="8" s="1"/>
  <c r="I19" i="8"/>
  <c r="J19" i="8" s="1"/>
  <c r="I23" i="8"/>
  <c r="J23" i="8" s="1"/>
  <c r="I27" i="8"/>
  <c r="J27" i="8" s="1"/>
  <c r="I31" i="8"/>
  <c r="J31" i="8" s="1"/>
  <c r="I35" i="8"/>
  <c r="J35" i="8" s="1"/>
  <c r="I39" i="8"/>
  <c r="J39" i="8" s="1"/>
  <c r="I43" i="8"/>
  <c r="J43" i="8" s="1"/>
  <c r="I47" i="8"/>
  <c r="J47" i="8" s="1"/>
  <c r="I51" i="8"/>
  <c r="J51" i="8" s="1"/>
  <c r="I55" i="8"/>
  <c r="J55" i="8" s="1"/>
  <c r="I59" i="8"/>
  <c r="J59" i="8" s="1"/>
  <c r="I63" i="8"/>
  <c r="J63" i="8" s="1"/>
  <c r="I67" i="8"/>
  <c r="J67" i="8" s="1"/>
  <c r="I70" i="7"/>
  <c r="J70" i="7" s="1"/>
  <c r="K70" i="7"/>
  <c r="H106" i="7"/>
  <c r="J4" i="7"/>
  <c r="I71" i="7"/>
  <c r="J71" i="7" s="1"/>
  <c r="H107" i="7"/>
  <c r="K71" i="7"/>
  <c r="K72" i="7"/>
  <c r="H108" i="7"/>
  <c r="I72" i="7"/>
  <c r="J72" i="7" s="1"/>
  <c r="I12" i="7"/>
  <c r="J12" i="7" s="1"/>
  <c r="I24" i="7"/>
  <c r="J24" i="7" s="1"/>
  <c r="I52" i="7"/>
  <c r="J52" i="7" s="1"/>
  <c r="I64" i="7"/>
  <c r="J64" i="7" s="1"/>
  <c r="I16" i="7"/>
  <c r="J16" i="7" s="1"/>
  <c r="I40" i="7"/>
  <c r="J40" i="7" s="1"/>
  <c r="I44" i="7"/>
  <c r="J44" i="7" s="1"/>
  <c r="K4" i="7"/>
  <c r="I7" i="7"/>
  <c r="J7" i="7" s="1"/>
  <c r="K8" i="7"/>
  <c r="I11" i="7"/>
  <c r="J11" i="7" s="1"/>
  <c r="I15" i="7"/>
  <c r="J15" i="7" s="1"/>
  <c r="I19" i="7"/>
  <c r="J19" i="7" s="1"/>
  <c r="K20" i="7"/>
  <c r="I23" i="7"/>
  <c r="J23" i="7" s="1"/>
  <c r="I27" i="7"/>
  <c r="J27" i="7" s="1"/>
  <c r="K28" i="7"/>
  <c r="I31" i="7"/>
  <c r="J31" i="7" s="1"/>
  <c r="K32" i="7"/>
  <c r="I35" i="7"/>
  <c r="J35" i="7" s="1"/>
  <c r="K36" i="7"/>
  <c r="I39" i="7"/>
  <c r="J39" i="7" s="1"/>
  <c r="I43" i="7"/>
  <c r="J43" i="7" s="1"/>
  <c r="I47" i="7"/>
  <c r="J47" i="7" s="1"/>
  <c r="K48" i="7"/>
  <c r="I51" i="7"/>
  <c r="J51" i="7" s="1"/>
  <c r="I55" i="7"/>
  <c r="J55" i="7" s="1"/>
  <c r="K56" i="7"/>
  <c r="I59" i="7"/>
  <c r="J59" i="7" s="1"/>
  <c r="K60" i="7"/>
  <c r="I63" i="7"/>
  <c r="J63" i="7" s="1"/>
  <c r="I67" i="7"/>
  <c r="J67" i="7" s="1"/>
  <c r="K68" i="7"/>
  <c r="S12" i="15" l="1"/>
  <c r="S17" i="15" s="1"/>
  <c r="K36" i="15"/>
  <c r="J39" i="15"/>
  <c r="S11" i="15"/>
  <c r="S16" i="15" s="1"/>
  <c r="K24" i="15"/>
  <c r="J27" i="15"/>
  <c r="S13" i="15"/>
  <c r="S18" i="15" s="1"/>
  <c r="K48" i="15"/>
  <c r="J51" i="15"/>
  <c r="J101" i="15" s="1"/>
  <c r="K75" i="15"/>
  <c r="J74" i="15"/>
  <c r="S22" i="15" s="1"/>
  <c r="K12" i="15"/>
  <c r="S10" i="15"/>
  <c r="S15" i="15" s="1"/>
  <c r="J15" i="15"/>
  <c r="I95" i="15"/>
  <c r="I3" i="15"/>
  <c r="D18" i="1"/>
  <c r="S21" i="15"/>
  <c r="K65" i="15"/>
  <c r="K85" i="15"/>
  <c r="J84" i="15"/>
  <c r="S23" i="15" s="1"/>
  <c r="K55" i="15"/>
  <c r="R20" i="15"/>
  <c r="I52" i="15"/>
  <c r="E6" i="25" s="1"/>
  <c r="R11" i="24"/>
  <c r="R16" i="24" s="1"/>
  <c r="I27" i="24"/>
  <c r="J24" i="24"/>
  <c r="R12" i="24"/>
  <c r="R17" i="24" s="1"/>
  <c r="I39" i="24"/>
  <c r="J36" i="24"/>
  <c r="I51" i="24"/>
  <c r="R13" i="24"/>
  <c r="R18" i="24" s="1"/>
  <c r="J48" i="24"/>
  <c r="I74" i="24"/>
  <c r="R22" i="24" s="1"/>
  <c r="J75" i="24"/>
  <c r="R10" i="24"/>
  <c r="R15" i="24" s="1"/>
  <c r="I15" i="24"/>
  <c r="J12" i="24"/>
  <c r="I64" i="24"/>
  <c r="R21" i="24" s="1"/>
  <c r="J65" i="24"/>
  <c r="I84" i="24"/>
  <c r="R23" i="24" s="1"/>
  <c r="J85" i="24"/>
  <c r="I54" i="24"/>
  <c r="J55" i="24"/>
  <c r="H76" i="8"/>
  <c r="I70" i="8"/>
  <c r="J70" i="8" s="1"/>
  <c r="J95" i="15"/>
  <c r="I97" i="15"/>
  <c r="K70" i="8"/>
  <c r="F35" i="11"/>
  <c r="I6" i="11"/>
  <c r="J6" i="11" s="1"/>
  <c r="B36" i="11"/>
  <c r="E37" i="11"/>
  <c r="G37" i="11" s="1"/>
  <c r="K21" i="8"/>
  <c r="I21" i="8"/>
  <c r="J21" i="8" s="1"/>
  <c r="K13" i="8"/>
  <c r="I13" i="8"/>
  <c r="J13" i="8" s="1"/>
  <c r="I26" i="8"/>
  <c r="J26" i="8" s="1"/>
  <c r="K26" i="8"/>
  <c r="I110" i="7"/>
  <c r="P118" i="7"/>
  <c r="I111" i="7" s="1"/>
  <c r="I112" i="7" s="1"/>
  <c r="J3" i="15" l="1"/>
  <c r="K54" i="15"/>
  <c r="L55" i="15"/>
  <c r="S20" i="15"/>
  <c r="J52" i="15"/>
  <c r="F6" i="25" s="1"/>
  <c r="K84" i="15"/>
  <c r="T23" i="15" s="1"/>
  <c r="L85" i="15"/>
  <c r="K64" i="15"/>
  <c r="T21" i="15" s="1"/>
  <c r="L65" i="15"/>
  <c r="I102" i="15"/>
  <c r="E8" i="25" s="1"/>
  <c r="Z5" i="15"/>
  <c r="E5" i="25"/>
  <c r="L12" i="15"/>
  <c r="T10" i="15"/>
  <c r="T15" i="15" s="1"/>
  <c r="K15" i="15"/>
  <c r="K74" i="15"/>
  <c r="T22" i="15" s="1"/>
  <c r="L75" i="15"/>
  <c r="L48" i="15"/>
  <c r="T13" i="15"/>
  <c r="T18" i="15" s="1"/>
  <c r="K51" i="15"/>
  <c r="K101" i="15" s="1"/>
  <c r="L24" i="15"/>
  <c r="T11" i="15"/>
  <c r="T16" i="15" s="1"/>
  <c r="K27" i="15"/>
  <c r="L36" i="15"/>
  <c r="T12" i="15"/>
  <c r="T17" i="15" s="1"/>
  <c r="K39" i="15"/>
  <c r="I3" i="24"/>
  <c r="I234" i="24" s="1"/>
  <c r="J54" i="24"/>
  <c r="K55" i="24"/>
  <c r="R20" i="24"/>
  <c r="I52" i="24"/>
  <c r="J84" i="24"/>
  <c r="S23" i="24" s="1"/>
  <c r="K85" i="24"/>
  <c r="J64" i="24"/>
  <c r="S21" i="24" s="1"/>
  <c r="K65" i="24"/>
  <c r="S10" i="24"/>
  <c r="S15" i="24" s="1"/>
  <c r="J15" i="24"/>
  <c r="K12" i="24"/>
  <c r="I237" i="24"/>
  <c r="I238" i="24" s="1"/>
  <c r="J74" i="24"/>
  <c r="S22" i="24" s="1"/>
  <c r="K75" i="24"/>
  <c r="K48" i="24"/>
  <c r="S13" i="24"/>
  <c r="S18" i="24" s="1"/>
  <c r="J51" i="24"/>
  <c r="K36" i="24"/>
  <c r="S12" i="24"/>
  <c r="S17" i="24" s="1"/>
  <c r="J39" i="24"/>
  <c r="K24" i="24"/>
  <c r="S11" i="24"/>
  <c r="S16" i="24" s="1"/>
  <c r="J27" i="24"/>
  <c r="I99" i="15"/>
  <c r="I93" i="15" s="1"/>
  <c r="J99" i="15"/>
  <c r="K95" i="15"/>
  <c r="J97" i="15"/>
  <c r="B37" i="11"/>
  <c r="F37" i="11" s="1"/>
  <c r="F36" i="11"/>
  <c r="I7" i="11"/>
  <c r="J7" i="11" s="1"/>
  <c r="E38" i="11"/>
  <c r="G38" i="11" s="1"/>
  <c r="P88" i="8"/>
  <c r="I81" i="8" s="1"/>
  <c r="I82" i="8" s="1"/>
  <c r="I80" i="8"/>
  <c r="I160" i="24" l="1"/>
  <c r="I276" i="24"/>
  <c r="I164" i="24"/>
  <c r="I231" i="24"/>
  <c r="I232" i="24" s="1"/>
  <c r="I157" i="24"/>
  <c r="I217" i="24"/>
  <c r="I8" i="11"/>
  <c r="J8" i="11" s="1"/>
  <c r="I151" i="24"/>
  <c r="E18" i="25"/>
  <c r="I182" i="24"/>
  <c r="I181" i="24" s="1"/>
  <c r="M36" i="15"/>
  <c r="U12" i="15"/>
  <c r="U17" i="15" s="1"/>
  <c r="L39" i="15"/>
  <c r="M24" i="15"/>
  <c r="U11" i="15"/>
  <c r="U16" i="15" s="1"/>
  <c r="L27" i="15"/>
  <c r="M48" i="15"/>
  <c r="U13" i="15"/>
  <c r="U18" i="15" s="1"/>
  <c r="L51" i="15"/>
  <c r="L101" i="15" s="1"/>
  <c r="L74" i="15"/>
  <c r="U22" i="15" s="1"/>
  <c r="M75" i="15"/>
  <c r="K3" i="15"/>
  <c r="M12" i="15"/>
  <c r="U10" i="15"/>
  <c r="U15" i="15" s="1"/>
  <c r="L15" i="15"/>
  <c r="AF18" i="15"/>
  <c r="AE18" i="15"/>
  <c r="L64" i="15"/>
  <c r="U21" i="15" s="1"/>
  <c r="M65" i="15"/>
  <c r="L84" i="15"/>
  <c r="U23" i="15" s="1"/>
  <c r="M85" i="15"/>
  <c r="L54" i="15"/>
  <c r="M55" i="15"/>
  <c r="T20" i="15"/>
  <c r="K52" i="15"/>
  <c r="G6" i="25" s="1"/>
  <c r="I109" i="15"/>
  <c r="E10" i="25" s="1"/>
  <c r="E7" i="25"/>
  <c r="O8" i="25" s="1"/>
  <c r="I108" i="15"/>
  <c r="E9" i="25" s="1"/>
  <c r="L24" i="24"/>
  <c r="T11" i="24"/>
  <c r="T16" i="24" s="1"/>
  <c r="K27" i="24"/>
  <c r="AA27" i="24" s="1"/>
  <c r="L36" i="24"/>
  <c r="T12" i="24"/>
  <c r="T17" i="24" s="1"/>
  <c r="K39" i="24"/>
  <c r="L48" i="24"/>
  <c r="T13" i="24"/>
  <c r="T18" i="24" s="1"/>
  <c r="K51" i="24"/>
  <c r="K74" i="24"/>
  <c r="T22" i="24" s="1"/>
  <c r="L75" i="24"/>
  <c r="M230" i="24"/>
  <c r="M231" i="24"/>
  <c r="L12" i="24"/>
  <c r="T10" i="24"/>
  <c r="T15" i="24" s="1"/>
  <c r="K15" i="24"/>
  <c r="J3" i="24"/>
  <c r="K64" i="24"/>
  <c r="T21" i="24" s="1"/>
  <c r="L65" i="24"/>
  <c r="K84" i="24"/>
  <c r="T23" i="24" s="1"/>
  <c r="L85" i="24"/>
  <c r="K54" i="24"/>
  <c r="L55" i="24"/>
  <c r="S20" i="24"/>
  <c r="J52" i="24"/>
  <c r="J93" i="15"/>
  <c r="K99" i="15"/>
  <c r="L95" i="15"/>
  <c r="B38" i="11"/>
  <c r="E39" i="11"/>
  <c r="AD17" i="15" l="1"/>
  <c r="L3" i="15"/>
  <c r="M54" i="15"/>
  <c r="V20" i="15" s="1"/>
  <c r="N55" i="15"/>
  <c r="U20" i="15"/>
  <c r="L52" i="15"/>
  <c r="M84" i="15"/>
  <c r="V23" i="15" s="1"/>
  <c r="N85" i="15"/>
  <c r="M64" i="15"/>
  <c r="V21" i="15" s="1"/>
  <c r="N65" i="15"/>
  <c r="N12" i="15"/>
  <c r="V10" i="15"/>
  <c r="V15" i="15" s="1"/>
  <c r="M15" i="15"/>
  <c r="M74" i="15"/>
  <c r="N75" i="15"/>
  <c r="N48" i="15"/>
  <c r="V13" i="15"/>
  <c r="V18" i="15" s="1"/>
  <c r="M51" i="15"/>
  <c r="M101" i="15" s="1"/>
  <c r="N24" i="15"/>
  <c r="V11" i="15"/>
  <c r="V16" i="15" s="1"/>
  <c r="M27" i="15"/>
  <c r="N36" i="15"/>
  <c r="V12" i="15"/>
  <c r="V17" i="15" s="1"/>
  <c r="M39" i="15"/>
  <c r="E13" i="25"/>
  <c r="E14" i="25" s="1"/>
  <c r="K3" i="24"/>
  <c r="K234" i="24" s="1"/>
  <c r="F7" i="25"/>
  <c r="J108" i="15"/>
  <c r="F9" i="25" s="1"/>
  <c r="J109" i="15"/>
  <c r="F10" i="25" s="1"/>
  <c r="F5" i="25"/>
  <c r="F18" i="25" s="1"/>
  <c r="L54" i="24"/>
  <c r="M55" i="24"/>
  <c r="T20" i="24"/>
  <c r="K52" i="24"/>
  <c r="L84" i="24"/>
  <c r="U23" i="24" s="1"/>
  <c r="M85" i="24"/>
  <c r="L64" i="24"/>
  <c r="U21" i="24" s="1"/>
  <c r="M65" i="24"/>
  <c r="J182" i="24"/>
  <c r="J181" i="24" s="1"/>
  <c r="J276" i="24"/>
  <c r="J157" i="24"/>
  <c r="J237" i="24"/>
  <c r="J238" i="24" s="1"/>
  <c r="J217" i="24"/>
  <c r="J160" i="24"/>
  <c r="J234" i="24"/>
  <c r="J164" i="24"/>
  <c r="J231" i="24"/>
  <c r="J232" i="24" s="1"/>
  <c r="J151" i="24"/>
  <c r="M12" i="24"/>
  <c r="U10" i="24"/>
  <c r="U15" i="24" s="1"/>
  <c r="L15" i="24"/>
  <c r="N230" i="24"/>
  <c r="O230" i="24" s="1"/>
  <c r="O240" i="24" s="1"/>
  <c r="M240" i="24"/>
  <c r="L74" i="24"/>
  <c r="U22" i="24" s="1"/>
  <c r="M75" i="24"/>
  <c r="M48" i="24"/>
  <c r="U13" i="24"/>
  <c r="U18" i="24" s="1"/>
  <c r="L51" i="24"/>
  <c r="M36" i="24"/>
  <c r="U12" i="24"/>
  <c r="U17" i="24" s="1"/>
  <c r="L39" i="24"/>
  <c r="M24" i="24"/>
  <c r="U11" i="24"/>
  <c r="U16" i="24" s="1"/>
  <c r="L27" i="24"/>
  <c r="J102" i="15"/>
  <c r="F8" i="25" s="1"/>
  <c r="AA27" i="15"/>
  <c r="K97" i="15"/>
  <c r="K93" i="15" s="1"/>
  <c r="H6" i="25"/>
  <c r="M95" i="15"/>
  <c r="L97" i="15"/>
  <c r="F38" i="11"/>
  <c r="I9" i="11"/>
  <c r="J9" i="11" s="1"/>
  <c r="D49" i="11" s="1"/>
  <c r="G39" i="11"/>
  <c r="B39" i="11" s="1"/>
  <c r="T36" i="6"/>
  <c r="G31" i="6"/>
  <c r="G30" i="6"/>
  <c r="Q37" i="6"/>
  <c r="S36" i="6" s="1"/>
  <c r="H31" i="6" s="1"/>
  <c r="W36" i="6"/>
  <c r="W37" i="6" s="1"/>
  <c r="G25" i="6" l="1"/>
  <c r="H32" i="6"/>
  <c r="H33" i="6" s="1"/>
  <c r="G12" i="6"/>
  <c r="G14" i="6" s="1"/>
  <c r="D28" i="25" s="1"/>
  <c r="O36" i="15"/>
  <c r="W12" i="15"/>
  <c r="W17" i="15" s="1"/>
  <c r="N39" i="15"/>
  <c r="O24" i="15"/>
  <c r="W11" i="15"/>
  <c r="W16" i="15" s="1"/>
  <c r="N27" i="15"/>
  <c r="O48" i="15"/>
  <c r="W13" i="15"/>
  <c r="W18" i="15" s="1"/>
  <c r="N51" i="15"/>
  <c r="N101" i="15" s="1"/>
  <c r="N74" i="15"/>
  <c r="W22" i="15" s="1"/>
  <c r="O75" i="15"/>
  <c r="O74" i="15" s="1"/>
  <c r="X22" i="15" s="1"/>
  <c r="M52" i="15"/>
  <c r="I6" i="25" s="1"/>
  <c r="V22" i="15"/>
  <c r="M3" i="15"/>
  <c r="O12" i="15"/>
  <c r="W10" i="15"/>
  <c r="W15" i="15" s="1"/>
  <c r="N15" i="15"/>
  <c r="N95" i="15" s="1"/>
  <c r="O65" i="15"/>
  <c r="O64" i="15" s="1"/>
  <c r="X21" i="15" s="1"/>
  <c r="N64" i="15"/>
  <c r="W21" i="15" s="1"/>
  <c r="N84" i="15"/>
  <c r="W23" i="15" s="1"/>
  <c r="O85" i="15"/>
  <c r="O84" i="15" s="1"/>
  <c r="X23" i="15" s="1"/>
  <c r="N54" i="15"/>
  <c r="O55" i="15"/>
  <c r="O54" i="15" s="1"/>
  <c r="K160" i="24"/>
  <c r="K151" i="24"/>
  <c r="K276" i="24"/>
  <c r="K231" i="24"/>
  <c r="K232" i="24" s="1"/>
  <c r="K217" i="24"/>
  <c r="I441" i="24" s="1"/>
  <c r="K157" i="24"/>
  <c r="K182" i="24"/>
  <c r="K181" i="24" s="1"/>
  <c r="K164" i="24"/>
  <c r="N240" i="24"/>
  <c r="K237" i="24"/>
  <c r="K238" i="24" s="1"/>
  <c r="E15" i="25"/>
  <c r="E16" i="25" s="1"/>
  <c r="G7" i="25"/>
  <c r="K108" i="15"/>
  <c r="G9" i="25" s="1"/>
  <c r="K109" i="15"/>
  <c r="G10" i="25" s="1"/>
  <c r="G5" i="25"/>
  <c r="G17" i="25" s="1"/>
  <c r="N24" i="24"/>
  <c r="V11" i="24"/>
  <c r="V16" i="24" s="1"/>
  <c r="M27" i="24"/>
  <c r="N36" i="24"/>
  <c r="V12" i="24"/>
  <c r="V17" i="24" s="1"/>
  <c r="M39" i="24"/>
  <c r="N48" i="24"/>
  <c r="V13" i="24"/>
  <c r="V18" i="24" s="1"/>
  <c r="M51" i="24"/>
  <c r="M74" i="24"/>
  <c r="V22" i="24" s="1"/>
  <c r="N75" i="24"/>
  <c r="L3" i="24"/>
  <c r="N12" i="24"/>
  <c r="V10" i="24"/>
  <c r="V15" i="24" s="1"/>
  <c r="M15" i="24"/>
  <c r="M64" i="24"/>
  <c r="V21" i="24" s="1"/>
  <c r="N65" i="24"/>
  <c r="M84" i="24"/>
  <c r="V23" i="24" s="1"/>
  <c r="N85" i="24"/>
  <c r="M54" i="24"/>
  <c r="N55" i="24"/>
  <c r="U20" i="24"/>
  <c r="L52" i="24"/>
  <c r="K102" i="15"/>
  <c r="G8" i="25" s="1"/>
  <c r="L99" i="15"/>
  <c r="L93" i="15" s="1"/>
  <c r="M97" i="15"/>
  <c r="M99" i="15"/>
  <c r="B55" i="11"/>
  <c r="C55" i="11" s="1"/>
  <c r="F39" i="11"/>
  <c r="L31" i="6"/>
  <c r="L32" i="6" s="1"/>
  <c r="C23" i="2"/>
  <c r="E41" i="2"/>
  <c r="D41" i="2"/>
  <c r="C41" i="2"/>
  <c r="D21" i="2"/>
  <c r="E21" i="2"/>
  <c r="F21" i="2"/>
  <c r="G21" i="2"/>
  <c r="H21" i="2"/>
  <c r="C21" i="2"/>
  <c r="C15" i="1"/>
  <c r="D14" i="1"/>
  <c r="E14" i="1" s="1"/>
  <c r="E12" i="1"/>
  <c r="F12" i="1" s="1"/>
  <c r="A12" i="1"/>
  <c r="D7" i="1"/>
  <c r="E7" i="1" s="1"/>
  <c r="F7" i="1" s="1"/>
  <c r="N3" i="15" l="1"/>
  <c r="E21" i="25"/>
  <c r="E23" i="25" s="1"/>
  <c r="D7" i="26"/>
  <c r="X20" i="15"/>
  <c r="O52" i="15"/>
  <c r="K6" i="25" s="1"/>
  <c r="W20" i="15"/>
  <c r="N52" i="15"/>
  <c r="J6" i="25" s="1"/>
  <c r="X10" i="15"/>
  <c r="X15" i="15" s="1"/>
  <c r="O15" i="15"/>
  <c r="O95" i="15" s="1"/>
  <c r="X13" i="15"/>
  <c r="X18" i="15" s="1"/>
  <c r="O51" i="15"/>
  <c r="O101" i="15" s="1"/>
  <c r="X11" i="15"/>
  <c r="X16" i="15" s="1"/>
  <c r="O27" i="15"/>
  <c r="X12" i="15"/>
  <c r="X17" i="15" s="1"/>
  <c r="O39" i="15"/>
  <c r="G23" i="6"/>
  <c r="M3" i="24"/>
  <c r="M160" i="24" s="1"/>
  <c r="H7" i="25"/>
  <c r="L109" i="15"/>
  <c r="H10" i="25" s="1"/>
  <c r="L108" i="15"/>
  <c r="H9" i="25" s="1"/>
  <c r="G18" i="25"/>
  <c r="H5" i="25"/>
  <c r="H17" i="25" s="1"/>
  <c r="O55" i="24"/>
  <c r="O54" i="24" s="1"/>
  <c r="N54" i="24"/>
  <c r="V20" i="24"/>
  <c r="M52" i="24"/>
  <c r="N84" i="24"/>
  <c r="W23" i="24" s="1"/>
  <c r="O85" i="24"/>
  <c r="O84" i="24" s="1"/>
  <c r="X23" i="24" s="1"/>
  <c r="O65" i="24"/>
  <c r="O64" i="24" s="1"/>
  <c r="X21" i="24" s="1"/>
  <c r="N64" i="24"/>
  <c r="W21" i="24" s="1"/>
  <c r="O12" i="24"/>
  <c r="W10" i="24"/>
  <c r="W15" i="24" s="1"/>
  <c r="N15" i="24"/>
  <c r="L164" i="24"/>
  <c r="L217" i="24"/>
  <c r="J441" i="24" s="1"/>
  <c r="L275" i="24"/>
  <c r="L157" i="24"/>
  <c r="L231" i="24"/>
  <c r="L232" i="24" s="1"/>
  <c r="L234" i="24"/>
  <c r="L160" i="24"/>
  <c r="L182" i="24"/>
  <c r="L181" i="24" s="1"/>
  <c r="L151" i="24"/>
  <c r="L237" i="24"/>
  <c r="L238" i="24" s="1"/>
  <c r="O75" i="24"/>
  <c r="O74" i="24" s="1"/>
  <c r="X22" i="24" s="1"/>
  <c r="N74" i="24"/>
  <c r="W22" i="24" s="1"/>
  <c r="O48" i="24"/>
  <c r="W13" i="24"/>
  <c r="W18" i="24" s="1"/>
  <c r="N51" i="24"/>
  <c r="O36" i="24"/>
  <c r="W12" i="24"/>
  <c r="W17" i="24" s="1"/>
  <c r="N39" i="24"/>
  <c r="O24" i="24"/>
  <c r="W11" i="24"/>
  <c r="W16" i="24" s="1"/>
  <c r="N27" i="24"/>
  <c r="L102" i="15"/>
  <c r="H8" i="25" s="1"/>
  <c r="M93" i="15"/>
  <c r="D15" i="1"/>
  <c r="N97" i="15"/>
  <c r="E15" i="1"/>
  <c r="F14" i="1"/>
  <c r="F15" i="1" s="1"/>
  <c r="M164" i="24" l="1"/>
  <c r="M203" i="24"/>
  <c r="M165" i="24"/>
  <c r="M295" i="24" s="1"/>
  <c r="M297" i="24" s="1"/>
  <c r="M233" i="24"/>
  <c r="M151" i="24"/>
  <c r="D11" i="26"/>
  <c r="D9" i="26"/>
  <c r="M157" i="24"/>
  <c r="M179" i="24"/>
  <c r="M176" i="24" s="1"/>
  <c r="M315" i="24" s="1"/>
  <c r="M317" i="24" s="1"/>
  <c r="E28" i="25"/>
  <c r="E25" i="25"/>
  <c r="E26" i="25" s="1"/>
  <c r="F12" i="25"/>
  <c r="F13" i="25" s="1"/>
  <c r="F14" i="25" s="1"/>
  <c r="K103" i="15"/>
  <c r="O3" i="15"/>
  <c r="E113" i="25"/>
  <c r="E114" i="25" s="1"/>
  <c r="E124" i="25" s="1"/>
  <c r="I7" i="25"/>
  <c r="M109" i="15"/>
  <c r="I10" i="25" s="1"/>
  <c r="M108" i="15"/>
  <c r="I9" i="25" s="1"/>
  <c r="H18" i="25"/>
  <c r="I5" i="25"/>
  <c r="I17" i="25" s="1"/>
  <c r="X11" i="24"/>
  <c r="X16" i="24" s="1"/>
  <c r="O27" i="24"/>
  <c r="X12" i="24"/>
  <c r="X17" i="24" s="1"/>
  <c r="O39" i="24"/>
  <c r="X13" i="24"/>
  <c r="X18" i="24" s="1"/>
  <c r="O51" i="24"/>
  <c r="N3" i="24"/>
  <c r="X10" i="24"/>
  <c r="X15" i="24" s="1"/>
  <c r="O15" i="24"/>
  <c r="M242" i="24"/>
  <c r="W20" i="24"/>
  <c r="N52" i="24"/>
  <c r="X20" i="24"/>
  <c r="O52" i="24"/>
  <c r="M102" i="15"/>
  <c r="I8" i="25" s="1"/>
  <c r="N99" i="15"/>
  <c r="N93" i="15" s="1"/>
  <c r="M217" i="24" l="1"/>
  <c r="M285" i="24" s="1"/>
  <c r="O3" i="24"/>
  <c r="L103" i="15"/>
  <c r="G12" i="25"/>
  <c r="G13" i="25" s="1"/>
  <c r="G14" i="25" s="1"/>
  <c r="G15" i="25" s="1"/>
  <c r="G16" i="25" s="1"/>
  <c r="F15" i="25"/>
  <c r="F16" i="25" s="1"/>
  <c r="E7" i="26" s="1"/>
  <c r="K441" i="24"/>
  <c r="M218" i="24"/>
  <c r="J7" i="25"/>
  <c r="N109" i="15"/>
  <c r="J10" i="25" s="1"/>
  <c r="N108" i="15"/>
  <c r="J9" i="25" s="1"/>
  <c r="I18" i="25"/>
  <c r="O97" i="15"/>
  <c r="J5" i="25"/>
  <c r="J17" i="25" s="1"/>
  <c r="AD15" i="24"/>
  <c r="O157" i="24"/>
  <c r="O179" i="24"/>
  <c r="O176" i="24" s="1"/>
  <c r="O217" i="24" s="1"/>
  <c r="O151" i="24"/>
  <c r="O160" i="24"/>
  <c r="AE15" i="24"/>
  <c r="O203" i="24"/>
  <c r="O164" i="24"/>
  <c r="N203" i="24"/>
  <c r="N233" i="24"/>
  <c r="N179" i="24"/>
  <c r="N176" i="24" s="1"/>
  <c r="N217" i="24" s="1"/>
  <c r="N164" i="24"/>
  <c r="N157" i="24"/>
  <c r="N160" i="24"/>
  <c r="N151" i="24"/>
  <c r="N102" i="15"/>
  <c r="J8" i="25" s="1"/>
  <c r="O99" i="15"/>
  <c r="E11" i="26" l="1"/>
  <c r="E9" i="26"/>
  <c r="F21" i="25"/>
  <c r="F23" i="25" s="1"/>
  <c r="G21" i="25"/>
  <c r="G23" i="25" s="1"/>
  <c r="M103" i="15"/>
  <c r="H12" i="25"/>
  <c r="H13" i="25" s="1"/>
  <c r="H14" i="25" s="1"/>
  <c r="H15" i="25" s="1"/>
  <c r="H16" i="25" s="1"/>
  <c r="O93" i="15"/>
  <c r="O108" i="15" s="1"/>
  <c r="K9" i="25" s="1"/>
  <c r="J18" i="25"/>
  <c r="K5" i="25"/>
  <c r="K17" i="25" s="1"/>
  <c r="K18" i="25" s="1"/>
  <c r="Z102" i="15"/>
  <c r="AA102" i="15" s="1"/>
  <c r="AB102" i="15" s="1"/>
  <c r="AC102" i="15" s="1"/>
  <c r="AD102" i="15" s="1"/>
  <c r="N218" i="24"/>
  <c r="N285" i="24"/>
  <c r="L441" i="24"/>
  <c r="O233" i="24"/>
  <c r="O242" i="24" s="1"/>
  <c r="N242" i="24"/>
  <c r="M441" i="24"/>
  <c r="AE94" i="24"/>
  <c r="AD94" i="24"/>
  <c r="AD95" i="24" s="1"/>
  <c r="O218" i="24"/>
  <c r="O285" i="24"/>
  <c r="AD16" i="24"/>
  <c r="O102" i="15"/>
  <c r="K8" i="25" s="1"/>
  <c r="Z3" i="15"/>
  <c r="AE15" i="15" s="1"/>
  <c r="AD15" i="15"/>
  <c r="G126" i="25" l="1"/>
  <c r="G127" i="25" s="1"/>
  <c r="G137" i="25" s="1"/>
  <c r="F113" i="25"/>
  <c r="F114" i="25" s="1"/>
  <c r="F124" i="25" s="1"/>
  <c r="F28" i="25"/>
  <c r="H21" i="25"/>
  <c r="H126" i="25" s="1"/>
  <c r="H127" i="25" s="1"/>
  <c r="H137" i="25" s="1"/>
  <c r="F25" i="25"/>
  <c r="F26" i="25" s="1"/>
  <c r="G25" i="25"/>
  <c r="G26" i="25" s="1"/>
  <c r="G28" i="25"/>
  <c r="N103" i="15"/>
  <c r="O103" i="15" s="1"/>
  <c r="I12" i="25"/>
  <c r="I13" i="25" s="1"/>
  <c r="I14" i="25" s="1"/>
  <c r="I15" i="25" s="1"/>
  <c r="I16" i="25" s="1"/>
  <c r="Z23" i="15"/>
  <c r="Z93" i="15"/>
  <c r="AA93" i="15" s="1"/>
  <c r="AB93" i="15" s="1"/>
  <c r="AC93" i="15" s="1"/>
  <c r="K7" i="25"/>
  <c r="O109" i="15"/>
  <c r="K10" i="25" s="1"/>
  <c r="AF15" i="15"/>
  <c r="AD16" i="15" s="1"/>
  <c r="AE94" i="15"/>
  <c r="AD94" i="15"/>
  <c r="H23" i="25" l="1"/>
  <c r="H28" i="25" s="1"/>
  <c r="I21" i="25"/>
  <c r="K12" i="25"/>
  <c r="K13" i="25" s="1"/>
  <c r="K14" i="25" s="1"/>
  <c r="J12" i="25"/>
  <c r="J13" i="25" s="1"/>
  <c r="J14" i="25" s="1"/>
  <c r="I126" i="25"/>
  <c r="I127" i="25" s="1"/>
  <c r="I137" i="25" s="1"/>
  <c r="I23" i="25"/>
  <c r="AD95" i="15"/>
  <c r="AD93" i="15"/>
  <c r="H25" i="25" l="1"/>
  <c r="H26" i="25" s="1"/>
  <c r="K15" i="25"/>
  <c r="K16" i="25" s="1"/>
  <c r="K21" i="25" s="1"/>
  <c r="K22" i="25" s="1"/>
  <c r="I25" i="25"/>
  <c r="I26" i="25" s="1"/>
  <c r="I28" i="25"/>
  <c r="J15" i="25"/>
  <c r="J16" i="25" s="1"/>
  <c r="O16" i="25" l="1"/>
  <c r="K23" i="25"/>
  <c r="K28" i="25" s="1"/>
  <c r="J21" i="25"/>
  <c r="J126" i="25" s="1"/>
  <c r="J127" i="25" s="1"/>
  <c r="J137" i="25" s="1"/>
  <c r="K126" i="25"/>
  <c r="K25" i="25" l="1"/>
  <c r="J23" i="25"/>
  <c r="E128" i="25"/>
  <c r="J25" i="25"/>
  <c r="J26" i="25" s="1"/>
  <c r="J28" i="25"/>
  <c r="K26" i="25"/>
  <c r="K127" i="25"/>
  <c r="D29" i="25" l="1"/>
  <c r="D27" i="25"/>
  <c r="K137" i="25"/>
  <c r="D125" i="25"/>
  <c r="D123" i="25"/>
  <c r="D126" i="25" l="1"/>
</calcChain>
</file>

<file path=xl/sharedStrings.xml><?xml version="1.0" encoding="utf-8"?>
<sst xmlns="http://schemas.openxmlformats.org/spreadsheetml/2006/main" count="2260" uniqueCount="572">
  <si>
    <t>USD/VND</t>
  </si>
  <si>
    <t>Components</t>
  </si>
  <si>
    <t>Mooncake</t>
  </si>
  <si>
    <t>Cosy biscuits</t>
  </si>
  <si>
    <t>Solite soft cake</t>
  </si>
  <si>
    <t>AFC Crackers</t>
  </si>
  <si>
    <t>Year 1</t>
  </si>
  <si>
    <t>Volume</t>
  </si>
  <si>
    <t>Price</t>
  </si>
  <si>
    <t>Gross Revenue percentage pay for Distributors as Commission</t>
  </si>
  <si>
    <t>Depreciation</t>
  </si>
  <si>
    <t xml:space="preserve"> </t>
  </si>
  <si>
    <t>Extra investment</t>
  </si>
  <si>
    <t>COGS</t>
  </si>
  <si>
    <t>% COGS</t>
  </si>
  <si>
    <t>Raw material and Packaging</t>
  </si>
  <si>
    <t>Other costs</t>
  </si>
  <si>
    <t>Delivery cost from VN to PH</t>
  </si>
  <si>
    <t>0.3% gross</t>
  </si>
  <si>
    <t>Annual overhead cost % of net revenue</t>
  </si>
  <si>
    <t>Annual advertise cost % of net revenue</t>
  </si>
  <si>
    <t>USD/PHP</t>
  </si>
  <si>
    <t>PHP</t>
  </si>
  <si>
    <t>HISTORICAL</t>
  </si>
  <si>
    <t>FORECAST</t>
  </si>
  <si>
    <t>Year</t>
  </si>
  <si>
    <t>Total revenue</t>
  </si>
  <si>
    <t>Total Debt</t>
  </si>
  <si>
    <t>AAGR</t>
  </si>
  <si>
    <t>Sector growth rate</t>
  </si>
  <si>
    <t>philippine k phổ biến với mooncake se la uu the few competitor tuy nhiên có swett tooth, fitting to mooncake taste. Furthermore, lĩnh vực cakes và patries, cái khá tương đồng với mooncake cũng đã có sự tăng trửn hàng năm, và dần nhanh hơn về cuối giai đoạn without social distancing, và thu nhập khả dụng tăng, Hơn nữa còn có các dòng bánh mới vè tiểu đừn, ăn kiêng phù hợp xu hướng</t>
  </si>
  <si>
    <t>Growth</t>
  </si>
  <si>
    <t>Solite Cake</t>
  </si>
  <si>
    <t>Sales  of PHP Baked goods (million)</t>
  </si>
  <si>
    <t>Cosy Biscuit</t>
  </si>
  <si>
    <t>Reasons</t>
  </si>
  <si>
    <t xml:space="preserve">Average </t>
  </si>
  <si>
    <t xml:space="preserve">Sector growth </t>
  </si>
  <si>
    <t>làm tốt và expand sữa tuoi vs bớt phụ thuộc vào và cạnh tranh thị phần</t>
  </si>
  <si>
    <t xml:space="preserve">Productivity </t>
  </si>
  <si>
    <t>Disposable income</t>
  </si>
  <si>
    <t>Heathy trend risk (poll of Southest Asian with eating more plant-based)</t>
  </si>
  <si>
    <t>Avg MS change</t>
  </si>
  <si>
    <t>Scale</t>
  </si>
  <si>
    <t xml:space="preserve">giá nguyên liệu giảm nhưng với xu hướng mới và sự đần mất thị phần </t>
  </si>
  <si>
    <t>Inflation</t>
  </si>
  <si>
    <t>Revenue</t>
  </si>
  <si>
    <t>Euromoni</t>
  </si>
  <si>
    <t xml:space="preserve">du ưu chuộng ngọt nma xu hướng health-focusing đag dần xuất hiện tuy nhiên kinh đô vẫn chưa kế hoạch creating health solite line; moreover, đặc tính của this product sẽ khó creating healthy . Sẽ grow giai đoạn đầu tuy nhiên khi chuyển dần sang healthy sẽ mất dần </t>
  </si>
  <si>
    <t>Sales  of PHP Cakes (million)</t>
  </si>
  <si>
    <t>2023F</t>
  </si>
  <si>
    <t>2024F</t>
  </si>
  <si>
    <t>2025F</t>
  </si>
  <si>
    <t>2026F</t>
  </si>
  <si>
    <t>2027F</t>
  </si>
  <si>
    <t>Cosy Biscuits</t>
  </si>
  <si>
    <t>Drinking milk</t>
  </si>
  <si>
    <t>Sales  of Biscuits (million)</t>
  </si>
  <si>
    <t>Sua</t>
  </si>
  <si>
    <t>Competitor risk (adjusted minus YoY growth)</t>
  </si>
  <si>
    <t>most potential</t>
  </si>
  <si>
    <t>Sales  of Savoury snacks (million)</t>
  </si>
  <si>
    <t>Competitor risk</t>
  </si>
  <si>
    <t>https://institutional.vanguard.com/insights-and-research/perspective/we-likely-wont-see-fed-rate-cuts-until-2024.html</t>
  </si>
  <si>
    <t>Changes</t>
  </si>
  <si>
    <t>wheat</t>
  </si>
  <si>
    <t>Sugar</t>
  </si>
  <si>
    <t>SHORT TERM</t>
  </si>
  <si>
    <t>philipppine vốn thiếu đường  trầm trọng và hi vọng nhap kahu duong voi 57% tăng gia đun noi địa do thiếu hụt san xuat</t>
  </si>
  <si>
    <t>COST</t>
  </si>
  <si>
    <t>giá lúa mì đẫ biến đổi dữ dội trong các năm vừa đặc biệt là tăng vọt với xâm lược uk russia chiếm 30% sản lượng toàn cầu.Tuy nhiên, tận dụng tăng giá, tạo điều kiện mở rộng sản xuất đã tăng mạnh. nhưng giá lúa mì nhanh chóng quay đầu suy yếu khi thị trường đón nhận những dữ liệu tích cực về nguồn cung. Đầu tiên là đến từ sự phục hồi của xuất khẩu lúa mì của Ukraine và Nga với mức 5 triệu tấn xuất khẩu vào tháng 3 cùng với lượng cung cấp dồi dào từ khu vực biển đen. Bên cạnh đó Bộ Nông nghiệp Mỹ show 49% diện tích lúa mì đông va xuan của nước này đạt chất lượng tốt/tuyệt vời trong 2/6, cao hơn so mức 36% cùng kỳ năm ngoái, và cao hơn 69% kỳ vọng của thị trường cũng như mức 64% năm ngoái</t>
  </si>
  <si>
    <t>Wheat</t>
  </si>
  <si>
    <t xml:space="preserve">Wheat price growth </t>
  </si>
  <si>
    <t>https://www.nasdaq.com/articles/sugar-prices-fall-sharply-on-easing-supply-concerns</t>
  </si>
  <si>
    <t>Suagr price growth</t>
  </si>
  <si>
    <t>LONGTERM</t>
  </si>
  <si>
    <t>https://www.macrotrends.net/2537/sugar-prices-historical-chart-data</t>
  </si>
  <si>
    <t>Mlik</t>
  </si>
  <si>
    <t>Về long-term giá vẫn sẽ tăng do áp lực nguồn cầu vô cùng lớn, ngay cả trc khi chiến tranh múc giá đã bắt đầu tăng. sự sụt giảm liên tục của lượng dự trữ cuối cùng trên thế giới và tỷ lệ dự trữ/sử dụng thắt chặt có thể có tác động tích cực đến xu hướng giá. Moreover, điều kiên thời tiết tiếp tục phúc tạp, cụ thể là độ ẩm thấp ở Nga đã gây ra sự sụt giảm sản xuất. However với nhu cầu v vẫn k thể đáp ứng dc nguồn cầu quá mức hiện tại được dự đoán vuot quá sản lượng hơn 4 triệu tấn</t>
  </si>
  <si>
    <t>Milk price growth</t>
  </si>
  <si>
    <t>Solite cake</t>
  </si>
  <si>
    <t>Cost</t>
  </si>
  <si>
    <t>MILK</t>
  </si>
  <si>
    <t>https://www.uswheat.org/wheatletter/wheat-price-perspectives-a-look-at-long-term-trends/</t>
  </si>
  <si>
    <t>https://nhandan.vn/gia-lua-mi-giam-5-ngay-lien-tiep-post812739.html</t>
  </si>
  <si>
    <t>https://www.macrotrends.net/2534/wheat-prices-historical-chart-data</t>
  </si>
  <si>
    <t xml:space="preserve">giá sua dư kien se tang tro lai đã có sựu phục hồi vơi nguồn cung thắt chặt và nguồn cầu manhjh mẽ, tuy nhiên mức tăng sẽ k mạnh khi production increase in US. USDA also raised the milk production estimate for 2025 due to higher milk per cow predictions and an expanding herd. It forecasts production will  229.3 billion lbs. next year, or 0.9% higher . However nguồn cung nhìn chung vẫn còn hạn chế với điều keienj thời tiết bất lợi mặc dù mở rộng lượng bò những chất lượng mỗi con bò giảm cho ra it sữa hơn. was down 0.1% year-over-year in the first quarter of 2024. </t>
  </si>
  <si>
    <t>https://www.oxfordeconomics.com/resource/wheat-prices-soften-in-2024-but-risks-tilted-to-the-upside/</t>
  </si>
  <si>
    <t>https://www.world-grain.com/articles/20010-grain-market-review-wheat</t>
  </si>
  <si>
    <t>ppc</t>
  </si>
  <si>
    <t>production per cow</t>
  </si>
  <si>
    <t>https://www.dairyherd.com/news/business/2024-all-milk-price-sees-growth-more-cows-and-production-predicted#:~:text=Currently%2C%20the%202024%20milk%20production,predictions%20and%20an%20expanding%20herd.</t>
  </si>
  <si>
    <t>https://www.stonex.com/en/thought-leadership/05-21-2024-milk-production/</t>
  </si>
  <si>
    <t>https://dairystar.com/stories/usda-expects-strong-demand-for-dairy-products-into-2025,24651</t>
  </si>
  <si>
    <t>COMISSION</t>
  </si>
  <si>
    <t>Comission</t>
  </si>
  <si>
    <t>DELIVERY COST</t>
  </si>
  <si>
    <t>INTEREST EXPENSE</t>
  </si>
  <si>
    <t>DEPRECIATION</t>
  </si>
  <si>
    <t>Total</t>
  </si>
  <si>
    <t>Useful life</t>
  </si>
  <si>
    <t>RESIDUAL VALUE</t>
  </si>
  <si>
    <t>OVERHEAD COST</t>
  </si>
  <si>
    <t>ADVERTISEMENT COST</t>
  </si>
  <si>
    <t xml:space="preserve">Heathy trend risk </t>
  </si>
  <si>
    <t>Market share Growth</t>
  </si>
  <si>
    <t>% Total Revenue</t>
  </si>
  <si>
    <t>Subsidiaries</t>
  </si>
  <si>
    <t>COGS (including D&amp;A)</t>
  </si>
  <si>
    <t>Gross profit (including D&amp;A)</t>
  </si>
  <si>
    <t>Gross margin % (including D&amp;A)</t>
  </si>
  <si>
    <t>COGS's D&amp;A</t>
  </si>
  <si>
    <t>Gross margin % (excluding D&amp;A)</t>
  </si>
  <si>
    <t>COST BREAKDOWN</t>
  </si>
  <si>
    <t>%Revenue growth</t>
  </si>
  <si>
    <t xml:space="preserve">% Revenue </t>
  </si>
  <si>
    <t>SMP</t>
  </si>
  <si>
    <t>SMP grwoth</t>
  </si>
  <si>
    <t>Financial income</t>
  </si>
  <si>
    <t>FI</t>
  </si>
  <si>
    <t>Financial expenses</t>
  </si>
  <si>
    <t>FE</t>
  </si>
  <si>
    <t>On borrowings</t>
  </si>
  <si>
    <t>On deposit received</t>
  </si>
  <si>
    <t>SG&amp;A</t>
  </si>
  <si>
    <t>G&amp;A</t>
  </si>
  <si>
    <t>Selling</t>
  </si>
  <si>
    <t>13,447,492,622,165 1</t>
  </si>
  <si>
    <t>Loại bỏ dịch</t>
  </si>
  <si>
    <t>AVERAGE</t>
  </si>
  <si>
    <t>Other income</t>
  </si>
  <si>
    <t>OI</t>
  </si>
  <si>
    <t>Other expense</t>
  </si>
  <si>
    <t>OE</t>
  </si>
  <si>
    <t>Income tax</t>
  </si>
  <si>
    <t>IT</t>
  </si>
  <si>
    <t>NET INCOME</t>
  </si>
  <si>
    <t>% Revenue</t>
  </si>
  <si>
    <t>Amortization</t>
  </si>
  <si>
    <t>Accounts Receivable - Trade, Net</t>
  </si>
  <si>
    <t>Total Inventory</t>
  </si>
  <si>
    <t>Accounts Payable</t>
  </si>
  <si>
    <t>Changes A/R</t>
  </si>
  <si>
    <t>Changes Inventory</t>
  </si>
  <si>
    <t>Changes A/P</t>
  </si>
  <si>
    <t>Other Assets</t>
  </si>
  <si>
    <t>Prepaid Expenses</t>
  </si>
  <si>
    <t>Other OCF</t>
  </si>
  <si>
    <t>--</t>
  </si>
  <si>
    <t>NET WORKING CAPITAL</t>
  </si>
  <si>
    <t>Avg. A/R Days</t>
  </si>
  <si>
    <t>1Y Growth</t>
  </si>
  <si>
    <t>Inv Turnover</t>
  </si>
  <si>
    <t>(1.3%) </t>
  </si>
  <si>
    <t>(6.7%) </t>
  </si>
  <si>
    <t>(3.3%) </t>
  </si>
  <si>
    <t>14.2% </t>
  </si>
  <si>
    <t>(8.2%) </t>
  </si>
  <si>
    <t>Avg. Inventory Days</t>
  </si>
  <si>
    <t>Avg. A/P Days</t>
  </si>
  <si>
    <t>A/R</t>
  </si>
  <si>
    <t>Net income</t>
  </si>
  <si>
    <t>CAPEX</t>
  </si>
  <si>
    <t>D/A</t>
  </si>
  <si>
    <t>NWC</t>
  </si>
  <si>
    <t>Net borrowings</t>
  </si>
  <si>
    <t>FCFE</t>
  </si>
  <si>
    <t>Cost of equity</t>
  </si>
  <si>
    <t>Terminal growth</t>
  </si>
  <si>
    <t>Terminal value</t>
  </si>
  <si>
    <t>Outstanding shares</t>
  </si>
  <si>
    <t>Share Price</t>
  </si>
  <si>
    <t>DCF</t>
  </si>
  <si>
    <t>Equity value</t>
  </si>
  <si>
    <t>Shares</t>
  </si>
  <si>
    <t>Share price</t>
  </si>
  <si>
    <t>fcfeF</t>
  </si>
  <si>
    <t>cost of equity</t>
  </si>
  <si>
    <t>terminal growth rate</t>
  </si>
  <si>
    <t>Discounted</t>
  </si>
  <si>
    <t>Sum of DCF</t>
  </si>
  <si>
    <t>shares (billions)</t>
  </si>
  <si>
    <t>Value per share</t>
  </si>
  <si>
    <t>Changes in Working Capital</t>
  </si>
  <si>
    <t>Accounts Receivable</t>
  </si>
  <si>
    <t>Inventories</t>
  </si>
  <si>
    <t>selling ex</t>
  </si>
  <si>
    <t>financial income</t>
  </si>
  <si>
    <t>financial exp</t>
  </si>
  <si>
    <t>ga</t>
  </si>
  <si>
    <t>other inc</t>
  </si>
  <si>
    <t>other ex</t>
  </si>
  <si>
    <t>income tax</t>
  </si>
  <si>
    <t>Labor</t>
  </si>
  <si>
    <t>D&amp;A</t>
  </si>
  <si>
    <t>Others</t>
  </si>
  <si>
    <t>Cost of Revenue, Total</t>
  </si>
  <si>
    <t>COST BREAKDOWN (%)</t>
  </si>
  <si>
    <t>Raw materials</t>
  </si>
  <si>
    <t>%raw materials in COGS</t>
  </si>
  <si>
    <t>COGS growth</t>
  </si>
  <si>
    <t>Revenue Growth</t>
  </si>
  <si>
    <t>Revenue Growth attributable to volume</t>
  </si>
  <si>
    <t>Revenue Growth attributable to price</t>
  </si>
  <si>
    <t>Change in COGS attributable to price</t>
  </si>
  <si>
    <t>GM's Sensititivity to material price</t>
  </si>
  <si>
    <t>Increase in material prices</t>
  </si>
  <si>
    <t>Raw material as % of revenue</t>
  </si>
  <si>
    <t>Change in gross margin</t>
  </si>
  <si>
    <t>Average volume sold (ton)</t>
  </si>
  <si>
    <t>Condensed milk</t>
  </si>
  <si>
    <t>Liquid milk</t>
  </si>
  <si>
    <t>Powdered milk</t>
  </si>
  <si>
    <t>Yoghurt</t>
  </si>
  <si>
    <t>Beverages</t>
  </si>
  <si>
    <t>Export</t>
  </si>
  <si>
    <t>Export - powder</t>
  </si>
  <si>
    <t>Export - liquid</t>
  </si>
  <si>
    <t>Production capacity</t>
  </si>
  <si>
    <t>Maximum capacity (000 lit)</t>
  </si>
  <si>
    <t>Running capacity (000 lit)</t>
  </si>
  <si>
    <t>Running capacity</t>
  </si>
  <si>
    <t>Maximum capacity (ton)</t>
  </si>
  <si>
    <t>Running capacity (ton)</t>
  </si>
  <si>
    <t>In which: Price growth</t>
  </si>
  <si>
    <t>In which: Volume growth</t>
  </si>
  <si>
    <t>Yogurt</t>
  </si>
  <si>
    <t>Exports</t>
  </si>
  <si>
    <t>Margin Estimate</t>
  </si>
  <si>
    <t>2014 COSG</t>
  </si>
  <si>
    <t>Absolute</t>
  </si>
  <si>
    <t>Relative to Revenue</t>
  </si>
  <si>
    <t>Margin</t>
  </si>
  <si>
    <t>NPM</t>
  </si>
  <si>
    <t>10 year yiled phio</t>
  </si>
  <si>
    <t>Value</t>
  </si>
  <si>
    <t>Date</t>
  </si>
  <si>
    <t>Open</t>
  </si>
  <si>
    <t>High</t>
  </si>
  <si>
    <t>Low</t>
  </si>
  <si>
    <t>Change %</t>
  </si>
  <si>
    <t>CAPM</t>
  </si>
  <si>
    <t>WACC</t>
  </si>
  <si>
    <t>PH</t>
  </si>
  <si>
    <t>Debt</t>
  </si>
  <si>
    <t>Equity risk premium</t>
  </si>
  <si>
    <t>Equity</t>
  </si>
  <si>
    <t>Country risk premium</t>
  </si>
  <si>
    <t>Risk-free rate</t>
  </si>
  <si>
    <t>Beta</t>
  </si>
  <si>
    <t>Cost of Equity</t>
  </si>
  <si>
    <t>Equity weight</t>
  </si>
  <si>
    <t>Debt weight</t>
  </si>
  <si>
    <t>Cost of debt</t>
  </si>
  <si>
    <t>Tax rate</t>
  </si>
  <si>
    <t>debt/equity</t>
  </si>
  <si>
    <t>1-equity</t>
  </si>
  <si>
    <t>equity</t>
  </si>
  <si>
    <t>Component</t>
  </si>
  <si>
    <t>Borrowing Amount</t>
  </si>
  <si>
    <t>Vietnam</t>
  </si>
  <si>
    <t>Philippines</t>
  </si>
  <si>
    <t>Year 2</t>
  </si>
  <si>
    <t xml:space="preserve">Total </t>
  </si>
  <si>
    <t>E</t>
  </si>
  <si>
    <t>`</t>
  </si>
  <si>
    <t>USD Lending Rate</t>
  </si>
  <si>
    <t>Interest expenses per year</t>
  </si>
  <si>
    <t>Total interest expenses</t>
  </si>
  <si>
    <t>Number of years</t>
  </si>
  <si>
    <t>Philipines</t>
  </si>
  <si>
    <t>Total Revenue</t>
  </si>
  <si>
    <t>Comissions</t>
  </si>
  <si>
    <t>Delivery cost</t>
  </si>
  <si>
    <t>Overhead cost</t>
  </si>
  <si>
    <t>Advertisement cost</t>
  </si>
  <si>
    <t>Interest expense</t>
  </si>
  <si>
    <t>Total expenses</t>
  </si>
  <si>
    <t>EBT</t>
  </si>
  <si>
    <t>growth</t>
  </si>
  <si>
    <t>Tax expenses</t>
  </si>
  <si>
    <t>wacc</t>
  </si>
  <si>
    <t>Working capital</t>
  </si>
  <si>
    <t xml:space="preserve">Add-back Depreciation </t>
  </si>
  <si>
    <t>Net Cash Flow</t>
  </si>
  <si>
    <t>USD</t>
  </si>
  <si>
    <t>PV</t>
  </si>
  <si>
    <t>NPV</t>
  </si>
  <si>
    <t>SS</t>
  </si>
  <si>
    <t>IRR</t>
  </si>
  <si>
    <t>Initial investment</t>
  </si>
  <si>
    <t>Discount</t>
  </si>
  <si>
    <t>Culmulative</t>
  </si>
  <si>
    <t>Market Sizes | Historical</t>
  </si>
  <si>
    <t>Geography</t>
  </si>
  <si>
    <t>Category</t>
  </si>
  <si>
    <t>Data Type</t>
  </si>
  <si>
    <t>Unit</t>
  </si>
  <si>
    <t>Current Constant</t>
  </si>
  <si>
    <t>2018</t>
  </si>
  <si>
    <t>2019</t>
  </si>
  <si>
    <t>2020</t>
  </si>
  <si>
    <t>2021</t>
  </si>
  <si>
    <t>2022</t>
  </si>
  <si>
    <t>2023</t>
  </si>
  <si>
    <t>2024</t>
  </si>
  <si>
    <t>Savoury Snacks</t>
  </si>
  <si>
    <t>Retail Value RSP</t>
  </si>
  <si>
    <t>VND billion</t>
  </si>
  <si>
    <t>Current Prices</t>
  </si>
  <si>
    <t>Research Sources:</t>
  </si>
  <si>
    <t>Snacks: Euromonitor from trade sources/national statistics</t>
  </si>
  <si>
    <t>Date Exported (GMT): 9/10/2024 4:24:11 PM</t>
  </si>
  <si>
    <t>© Euromonitor International</t>
  </si>
  <si>
    <t>Company Shares | National - Historical Owner | Historical | % breakdown</t>
  </si>
  <si>
    <t>Company Name</t>
  </si>
  <si>
    <t>Mondelez Kinh Do Vietnam JSC</t>
  </si>
  <si>
    <t>Liwayway Food Industry Co Ltd</t>
  </si>
  <si>
    <t>PepsiCo Vietnam (PIVN)</t>
  </si>
  <si>
    <t>Tuyen Ky Co Ltd</t>
  </si>
  <si>
    <t>Thien Ha Kameda JSC</t>
  </si>
  <si>
    <t>Viet Hoa Co</t>
  </si>
  <si>
    <t>Mayora Vietnam Co Ltd</t>
  </si>
  <si>
    <t>Sweet Biscuits, Snack Bars and Fruit Snacks</t>
  </si>
  <si>
    <t>Universal Robina Corp</t>
  </si>
  <si>
    <t>Monde Nissin Corp</t>
  </si>
  <si>
    <t>Republic Biscuit Corp</t>
  </si>
  <si>
    <t>Mayora Indah Tbk PT</t>
  </si>
  <si>
    <t>Enerlife Philippines Inc</t>
  </si>
  <si>
    <t>Mondelez Philippines Inc</t>
  </si>
  <si>
    <t>Delfi Foods Philippines Inc</t>
  </si>
  <si>
    <t>Date Exported (GMT): 9/10/2024 4:08:17 PM</t>
  </si>
  <si>
    <t>Grand Alphatech International Corp</t>
  </si>
  <si>
    <t>Commonwealth Foods Inc</t>
  </si>
  <si>
    <t>Profood International Corp</t>
  </si>
  <si>
    <t>Meiji Holdings Co Ltd</t>
  </si>
  <si>
    <t>Lotte Group</t>
  </si>
  <si>
    <t>-</t>
  </si>
  <si>
    <t>FPD Food International Inc</t>
  </si>
  <si>
    <t>Loacker AG SpA</t>
  </si>
  <si>
    <t>PHP million</t>
  </si>
  <si>
    <t>M Lhuillier Food Products Inc</t>
  </si>
  <si>
    <t>Fitrite Inc</t>
  </si>
  <si>
    <t>Kalbe International Pte Ltd</t>
  </si>
  <si>
    <t>Sun-Maid Growers Inc</t>
  </si>
  <si>
    <t>Campbell Soup Co</t>
  </si>
  <si>
    <t>GFI Enterprises Inc</t>
  </si>
  <si>
    <t>Lotte Philippines Co Inc</t>
  </si>
  <si>
    <t>Magnolia Inc</t>
  </si>
  <si>
    <t>Investing FRED</t>
  </si>
  <si>
    <t>Worldbank, Trading economic</t>
  </si>
  <si>
    <t>Lagged Interest rate differentials</t>
  </si>
  <si>
    <t>% Change in spot</t>
  </si>
  <si>
    <t>Predicted Y</t>
  </si>
  <si>
    <t>SUMMARY OUTPUT</t>
  </si>
  <si>
    <t>Regression Statistics</t>
  </si>
  <si>
    <t>Multiple R</t>
  </si>
  <si>
    <t>R Square</t>
  </si>
  <si>
    <t>Adjusted R Square</t>
  </si>
  <si>
    <t>Standard Error</t>
  </si>
  <si>
    <t>Observations</t>
  </si>
  <si>
    <t>ANOVA</t>
  </si>
  <si>
    <t>df</t>
  </si>
  <si>
    <t>MS</t>
  </si>
  <si>
    <t>F</t>
  </si>
  <si>
    <t>Significance F</t>
  </si>
  <si>
    <t>Regression</t>
  </si>
  <si>
    <t>Residual</t>
  </si>
  <si>
    <t>Coefficients</t>
  </si>
  <si>
    <t>t Stat</t>
  </si>
  <si>
    <t>P-value</t>
  </si>
  <si>
    <t>Lower 95%</t>
  </si>
  <si>
    <t>Upper 95%</t>
  </si>
  <si>
    <t>Lower 95.0%</t>
  </si>
  <si>
    <t>Upper 95.0%</t>
  </si>
  <si>
    <t>Intercept</t>
  </si>
  <si>
    <t>X Variable 1</t>
  </si>
  <si>
    <t>RESIDUAL OUTPUT</t>
  </si>
  <si>
    <t>Observation</t>
  </si>
  <si>
    <t>Residuals</t>
  </si>
  <si>
    <t>2028F</t>
  </si>
  <si>
    <t>Country</t>
  </si>
  <si>
    <t>2029F</t>
  </si>
  <si>
    <t>US</t>
  </si>
  <si>
    <t>2030F</t>
  </si>
  <si>
    <t>Expected Inflation rate</t>
  </si>
  <si>
    <t>2031F</t>
  </si>
  <si>
    <t>Explanation</t>
  </si>
  <si>
    <t>US government targets 2% inflation level, which gradually seems critical when US' PCE came to 0.2% on July 2024 (Knightly 2024)</t>
  </si>
  <si>
    <t>Philippines central bank provide the forecast inflation of 3% +- 1% after optimistic 2-3% target with external factors including agricultural, oil prices fluctuations, natural disaters and policy effectitveness</t>
  </si>
  <si>
    <t>Time period</t>
  </si>
  <si>
    <t>2025-2031</t>
  </si>
  <si>
    <t>Baked Goods</t>
  </si>
  <si>
    <t>Macrotrends Data Download</t>
  </si>
  <si>
    <t>Sugar Prices - 37 Year Historical Chart</t>
  </si>
  <si>
    <t>DISCLAIMER AND TERMS OF USE: HISTORICAL DATA IS PROVIDED "AS IS" AND SOLELY</t>
  </si>
  <si>
    <t>FOR INFORMATIONAL PURPOSES - NOT FOR TRADING PURPOSES OR ADVICE.</t>
  </si>
  <si>
    <t>NEITHER MACROTRENDS LLC NOR ANY OF OUR INFORMATION PROVIDERS WILL BE LIABLE</t>
  </si>
  <si>
    <t>FOR ANY DAMAGES RELATING TO YOUR USE OF THE DATA PROVIDED.</t>
  </si>
  <si>
    <t>ATTRIBUTION: Proper attribution requires clear indication of the data source as "www.macrotrends.net".</t>
  </si>
  <si>
    <t>A "dofollow" backlink to the originating page is also required if the data is displayed on a web page.</t>
  </si>
  <si>
    <t>date</t>
  </si>
  <si>
    <t xml:space="preserve"> value</t>
  </si>
  <si>
    <t>Wheat Prices - 40 Year Historical Chart</t>
  </si>
  <si>
    <t>%</t>
  </si>
  <si>
    <t xml:space="preserve">Fed sẽ giảm lãi suất vao 2024 </t>
  </si>
  <si>
    <t>Q3</t>
  </si>
  <si>
    <t>plan 5 year domes tic of china</t>
  </si>
  <si>
    <t>kbs</t>
  </si>
  <si>
    <t>cogs</t>
  </si>
  <si>
    <t xml:space="preserve">gima lai saut </t>
  </si>
  <si>
    <t>Terminal Value</t>
  </si>
  <si>
    <t>Snacks (PHP million) (LHS)</t>
  </si>
  <si>
    <t>Household Income</t>
  </si>
  <si>
    <t>Gum</t>
  </si>
  <si>
    <t>Sugar Confectionery</t>
  </si>
  <si>
    <t>Ice Cream</t>
  </si>
  <si>
    <t>(End Value/Beginning Value) ^ (1/Number of Years) - 1</t>
  </si>
  <si>
    <t>Date Exported (GMT): 9/7/2024 5:51:07 AM</t>
  </si>
  <si>
    <t>Snacks</t>
  </si>
  <si>
    <t>Snacls</t>
  </si>
  <si>
    <t>Confectionery</t>
  </si>
  <si>
    <t>Chocolate Confectionery</t>
  </si>
  <si>
    <t>sweet</t>
  </si>
  <si>
    <t>Variable</t>
  </si>
  <si>
    <t>SPOT EUR/VND 
(1 EUR FOR VND)</t>
  </si>
  <si>
    <t>Interest rate of EURO</t>
  </si>
  <si>
    <t>Interest rate of VIETNAM</t>
  </si>
  <si>
    <t>Lagged Interest Differential</t>
  </si>
  <si>
    <t>% change in Spot</t>
  </si>
  <si>
    <t>Predicted Y (% change in spot rate)</t>
  </si>
  <si>
    <t>Predicted spot rate</t>
  </si>
  <si>
    <t>Absolute Forecast Error</t>
  </si>
  <si>
    <t>Absolute Squared Error</t>
  </si>
  <si>
    <t>Forecast Error</t>
  </si>
  <si>
    <t>Source</t>
  </si>
  <si>
    <t>Investing</t>
  </si>
  <si>
    <t>Eurostats</t>
  </si>
  <si>
    <t>Trading Economics</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</si>
  <si>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</si>
  <si>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</si>
  <si>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</si>
  <si>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</si>
  <si>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</si>
  <si>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</si>
  <si>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</si>
  <si>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</si>
  <si>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</si>
  <si>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</si>
  <si>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</si>
  <si>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</si>
  <si>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</si>
  <si>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</si>
  <si>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</si>
  <si>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</si>
  <si>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</si>
  <si>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</si>
  <si>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</si>
  <si>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</si>
  <si>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</si>
  <si>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</si>
  <si>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</si>
  <si>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</si>
  <si>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</si>
  <si>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</si>
  <si>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</si>
  <si>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</si>
  <si>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</si>
  <si>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</si>
  <si>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Q3/2014</t>
  </si>
  <si>
    <t>Q4/2014</t>
  </si>
  <si>
    <t>Q1/2015</t>
  </si>
  <si>
    <t>Q2/2015</t>
  </si>
  <si>
    <t>Q3/2015</t>
  </si>
  <si>
    <t>Q4/2015</t>
  </si>
  <si>
    <t>Q1/2016</t>
  </si>
  <si>
    <t>Q2/2016</t>
  </si>
  <si>
    <t>Q3/2016</t>
  </si>
  <si>
    <t>Q4/2016</t>
  </si>
  <si>
    <t>Q1/2017</t>
  </si>
  <si>
    <t>Q2/2017</t>
  </si>
  <si>
    <t>Q3/2017</t>
  </si>
  <si>
    <t>Q4/2017</t>
  </si>
  <si>
    <t>Q1/2018</t>
  </si>
  <si>
    <t>Q2/2018</t>
  </si>
  <si>
    <t>Q3/2018</t>
  </si>
  <si>
    <t>Q4/2018</t>
  </si>
  <si>
    <t>Q1/2019</t>
  </si>
  <si>
    <t>Q2/2019</t>
  </si>
  <si>
    <t>Q3/2019</t>
  </si>
  <si>
    <t>Q4/2019</t>
  </si>
  <si>
    <t>Q1/2020</t>
  </si>
  <si>
    <t>Q2/2020</t>
  </si>
  <si>
    <t>Q3/2020</t>
  </si>
  <si>
    <t>Q4/2020</t>
  </si>
  <si>
    <t>Q1/2021</t>
  </si>
  <si>
    <t>Q2/2021</t>
  </si>
  <si>
    <t>Q3/2021</t>
  </si>
  <si>
    <t>Q4/2021</t>
  </si>
  <si>
    <t>Q1/2022</t>
  </si>
  <si>
    <t>Q2/2022</t>
  </si>
  <si>
    <t>Q3/2022</t>
  </si>
  <si>
    <t>Q4/2022</t>
  </si>
  <si>
    <t>Q1/2023</t>
  </si>
  <si>
    <t>Q2/2023</t>
  </si>
  <si>
    <t>Q3/2023</t>
  </si>
  <si>
    <t>Q4/2023</t>
  </si>
  <si>
    <t>Q1/2024</t>
  </si>
  <si>
    <t>Q2/2024</t>
  </si>
  <si>
    <t>Actual</t>
  </si>
  <si>
    <t>Predicted</t>
  </si>
  <si>
    <t>MAE</t>
  </si>
  <si>
    <t>MSE</t>
  </si>
  <si>
    <t>Root MSE</t>
  </si>
  <si>
    <t>Interes</t>
  </si>
  <si>
    <t>Phi</t>
  </si>
  <si>
    <t>Spot</t>
  </si>
  <si>
    <t>USM2</t>
  </si>
  <si>
    <t>Predicted 0.0324567621790526</t>
  </si>
  <si>
    <t>FRED</t>
  </si>
  <si>
    <t>Trading Economic</t>
  </si>
  <si>
    <t>SPOT PHP/USD
(1 EUR FOR VND)</t>
  </si>
  <si>
    <t>Interest rate of PHP</t>
  </si>
  <si>
    <t>Interest rate of USD</t>
  </si>
  <si>
    <t>CCC to C</t>
  </si>
  <si>
    <t>CCC+</t>
  </si>
  <si>
    <t>B+ to B-</t>
  </si>
  <si>
    <t>BB+ to BB-</t>
  </si>
  <si>
    <t>BBB+ to BBB-</t>
  </si>
  <si>
    <t>A+ to A-</t>
  </si>
  <si>
    <t>AA+ to AA-</t>
  </si>
  <si>
    <t>AAA</t>
  </si>
  <si>
    <t>Moody</t>
  </si>
  <si>
    <t>Baa2</t>
  </si>
  <si>
    <t>Fitch</t>
  </si>
  <si>
    <t>BBB</t>
  </si>
  <si>
    <t>S&amp;P</t>
  </si>
  <si>
    <t>BBB+</t>
  </si>
  <si>
    <t>OECD</t>
  </si>
  <si>
    <t>Institution</t>
  </si>
  <si>
    <t>PH risk rating</t>
  </si>
  <si>
    <t>Sweet Biscuit (LHS)</t>
  </si>
  <si>
    <t>Savoury Biscuit (LHS)</t>
  </si>
  <si>
    <t>Household Income per capita (RHS)</t>
  </si>
  <si>
    <t>FCFE with CAPEX discount to Year 0</t>
  </si>
  <si>
    <t>GDP growth</t>
  </si>
  <si>
    <t>GDP growtj</t>
  </si>
  <si>
    <t>Currency</t>
  </si>
  <si>
    <t>Milk</t>
  </si>
  <si>
    <t>NCF</t>
  </si>
  <si>
    <t>Accumulated CF</t>
  </si>
  <si>
    <t>Year 0</t>
  </si>
  <si>
    <t>Year 3</t>
  </si>
  <si>
    <t>Year 4</t>
  </si>
  <si>
    <t>Year 5</t>
  </si>
  <si>
    <t>Year 6</t>
  </si>
  <si>
    <t>Year 7</t>
  </si>
  <si>
    <t>Payback period</t>
  </si>
  <si>
    <t>PBP</t>
  </si>
  <si>
    <t>Forward Hedge</t>
  </si>
  <si>
    <t>usd</t>
  </si>
  <si>
    <t>phpp</t>
  </si>
  <si>
    <t>Forwad rate</t>
  </si>
  <si>
    <t>PH Receivables</t>
  </si>
  <si>
    <t>Hedging</t>
  </si>
  <si>
    <t>Forecasted rate</t>
  </si>
  <si>
    <t>Unhedge</t>
  </si>
  <si>
    <t>Deposit VN</t>
  </si>
  <si>
    <t>Backed goods (PHP million) (RHS)</t>
  </si>
  <si>
    <t>2024 ER</t>
  </si>
  <si>
    <t>Time</t>
  </si>
  <si>
    <t>Ingredidents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</si>
</sst>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0.000000%"/>
    <numFmt numFmtId="167" formatCode="0.000%"/>
    <numFmt numFmtId="168" formatCode="_(* #,##0.00000_);_(* \(#,##0.00000\);_(* &quot;-&quot;??_);_(@_)"/>
    <numFmt numFmtId="169" formatCode="0.0"/>
    <numFmt numFmtId="170" formatCode="0.00000000000000%"/>
    <numFmt numFmtId="171" formatCode="0.0000%"/>
    <numFmt numFmtId="172" formatCode="_(* #,##0.000_);_(* \(#,##0.000\);_(* &quot;-&quot;??_);_(@_)"/>
    <numFmt numFmtId="173" formatCode="0.0%"/>
    <numFmt numFmtId="174" formatCode="0.0000000%"/>
    <numFmt numFmtId="175" formatCode="#,##0.0_);[Red]\(#,##0.0\)"/>
    <numFmt numFmtId="176" formatCode="_(* #,##0.0_);_(* \(#,##0.0\);_(* &quot;-&quot;??_);_(@_)"/>
    <numFmt numFmtId="177" formatCode="_(\ #,##0.00_);_(\ \(#,##0.00\);_(\ &quot;-&quot;??_);_(@_)"/>
    <numFmt numFmtId="178" formatCode="_(\ #,##0_);_(\ \(#,##0\);_(\ &quot;-&quot;??_);_(@_)"/>
    <numFmt numFmtId="179" formatCode="_(\ #,##0.0000_);_(\ \(#,##0.0000\);_(\ &quot;-&quot;??_);_(@_)"/>
    <numFmt numFmtId="180" formatCode="_(&quot;$&quot;* #,##0_);_(&quot;$&quot;* \(#,##0\);_(&quot;$&quot;* &quot;-&quot;??_);_(@_)"/>
  </numFmts>
  <fonts count="37" x14ac:knownFonts="1">
    <font>
      <sz val="11"/>
      <color theme="1"/>
      <name val="Aptos Narrow"/>
      <family val="2"/>
      <scheme val="minor"/>
    </font>
    <font>
      <sz val="11"/>
      <color theme="1"/>
      <name val="Aptos Narrow"/>
      <family val="2"/>
      <scheme val="minor"/>
    </font>
    <font>
      <sz val="11"/>
      <color theme="1"/>
      <name val="Times New Roman"/>
      <family val="1"/>
    </font>
    <font>
      <b/>
      <sz val="11"/>
      <color theme="0"/>
      <name val="Times New Roman"/>
      <family val="1"/>
    </font>
    <font>
      <b/>
      <sz val="11"/>
      <color theme="1"/>
      <name val="Times New Roman"/>
      <family val="1"/>
    </font>
    <font>
      <b/>
      <sz val="11"/>
      <color theme="1"/>
      <name val="Aptos Narrow"/>
      <family val="2"/>
      <scheme val="minor"/>
    </font>
    <font>
      <sz val="10"/>
      <color indexed="8"/>
      <name val="Arial"/>
      <family val="2"/>
    </font>
    <font>
      <b/>
      <sz val="10"/>
      <color indexed="9"/>
      <name val="Arial"/>
      <family val="2"/>
    </font>
    <font>
      <sz val="10"/>
      <color indexed="9"/>
      <name val="Arial"/>
      <family val="2"/>
    </font>
    <font>
      <sz val="10"/>
      <color rgb="FF595959"/>
      <name val="Arial"/>
      <family val="2"/>
    </font>
    <font>
      <i/>
      <sz val="10"/>
      <color rgb="FF595959"/>
      <name val="Arial"/>
      <family val="2"/>
    </font>
    <font>
      <b/>
      <sz val="10"/>
      <color rgb="FF595959"/>
      <name val="Arial"/>
      <family val="2"/>
    </font>
    <font>
      <sz val="11"/>
      <color indexed="8"/>
      <name val="Aptos Narrow"/>
      <family val="2"/>
      <scheme val="minor"/>
    </font>
    <font>
      <sz val="12"/>
      <name val="Calibri"/>
      <family val="2"/>
    </font>
    <font>
      <sz val="10"/>
      <name val="Arial"/>
      <family val="2"/>
    </font>
    <font>
      <sz val="10"/>
      <name val="Times New Roman"/>
      <family val="1"/>
    </font>
    <font>
      <i/>
      <sz val="11"/>
      <color theme="1"/>
      <name val="Aptos Narrow"/>
      <family val="2"/>
      <scheme val="minor"/>
    </font>
    <font>
      <sz val="10"/>
      <color theme="1"/>
      <name val="Times New Roman"/>
      <family val="1"/>
    </font>
    <font>
      <b/>
      <sz val="10"/>
      <color theme="1"/>
      <name val="Times New Roman"/>
      <family val="1"/>
    </font>
    <font>
      <sz val="12"/>
      <color theme="1"/>
      <name val="Times New Roman"/>
      <family val="1"/>
    </font>
    <font>
      <b/>
      <sz val="12"/>
      <color theme="1"/>
      <name val="Times New Roman"/>
      <family val="1"/>
    </font>
    <font>
      <b/>
      <sz val="14"/>
      <color theme="1"/>
      <name val="Times New Roman"/>
      <family val="1"/>
    </font>
    <font>
      <b/>
      <sz val="12"/>
      <color theme="0"/>
      <name val="Times New Roman"/>
      <family val="1"/>
    </font>
    <font>
      <sz val="10"/>
      <color theme="1"/>
      <name val="Aptos Narrow"/>
      <family val="2"/>
      <scheme val="minor"/>
    </font>
    <font>
      <b/>
      <sz val="16"/>
      <color theme="0"/>
      <name val="Times New Roman"/>
      <family val="1"/>
    </font>
    <font>
      <i/>
      <sz val="10"/>
      <color rgb="FF4E6702"/>
      <name val="Aptos Narrow"/>
      <family val="2"/>
      <scheme val="minor"/>
    </font>
    <font>
      <b/>
      <sz val="12"/>
      <color theme="9" tint="-0.249977111117893"/>
      <name val="Times New Roman"/>
      <family val="1"/>
    </font>
    <font>
      <sz val="12"/>
      <color theme="9" tint="-0.249977111117893"/>
      <name val="Times New Roman"/>
      <family val="1"/>
    </font>
    <font>
      <b/>
      <sz val="12"/>
      <color theme="7" tint="-0.499984740745262"/>
      <name val="Times New Roman"/>
      <family val="1"/>
    </font>
    <font>
      <sz val="12"/>
      <color theme="7" tint="-0.499984740745262"/>
      <name val="Times New Roman"/>
      <family val="1"/>
    </font>
    <font>
      <b/>
      <sz val="9"/>
      <color theme="0"/>
      <name val="Aptos Narrow"/>
      <family val="2"/>
      <scheme val="minor"/>
    </font>
    <font>
      <b/>
      <sz val="9"/>
      <color theme="9" tint="-0.249977111117893"/>
      <name val="Aptos Narrow"/>
      <family val="2"/>
      <scheme val="minor"/>
    </font>
    <font>
      <sz val="9"/>
      <color theme="9" tint="-0.249977111117893"/>
      <name val="Aptos Narrow"/>
      <family val="2"/>
      <scheme val="minor"/>
    </font>
    <font>
      <u/>
      <sz val="11"/>
      <color theme="10"/>
      <name val="Aptos Narrow"/>
      <family val="2"/>
      <scheme val="minor"/>
    </font>
    <font>
      <sz val="12"/>
      <name val="Times New Roman"/>
      <family val="1"/>
    </font>
    <font>
      <b/>
      <sz val="12"/>
      <color rgb="FFFF0000"/>
      <name val="Times New Roman"/>
      <family val="1"/>
    </font>
    <font>
      <b/>
      <sz val="10"/>
      <name val="Times New Roman"/>
      <family val="1"/>
    </font>
  </fonts>
  <fills count="24">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indexed="9"/>
        <bgColor indexed="64"/>
      </patternFill>
    </fill>
    <fill>
      <patternFill patternType="darkVertical">
        <fgColor rgb="FF5D87A1"/>
        <bgColor rgb="FF5D87A1"/>
      </patternFill>
    </fill>
    <fill>
      <patternFill patternType="solid">
        <fgColor rgb="FF92D050"/>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
      <patternFill patternType="solid">
        <fgColor rgb="FFE9EFF6"/>
        <bgColor indexed="64"/>
      </patternFill>
    </fill>
    <fill>
      <patternFill patternType="solid">
        <fgColor theme="6" tint="0.59999389629810485"/>
        <bgColor indexed="64"/>
      </patternFill>
    </fill>
    <fill>
      <patternFill patternType="solid">
        <fgColor rgb="FFFFFFFF"/>
        <bgColor indexed="64"/>
      </patternFill>
    </fill>
    <fill>
      <patternFill patternType="solid">
        <fgColor theme="7" tint="-0.249977111117893"/>
        <bgColor indexed="64"/>
      </patternFill>
    </fill>
    <fill>
      <patternFill patternType="solid">
        <fgColor rgb="FFF2F4F9"/>
        <bgColor indexed="64"/>
      </patternFill>
    </fill>
    <fill>
      <patternFill patternType="solid">
        <fgColor rgb="FFF5F6FA"/>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right style="medium">
        <color rgb="FFCCCCCC"/>
      </right>
      <top style="medium">
        <color rgb="FFE5EBF4"/>
      </top>
      <bottom/>
      <diagonal/>
    </border>
    <border>
      <left/>
      <right/>
      <top style="medium">
        <color rgb="FFE5EBF4"/>
      </top>
      <bottom/>
      <diagonal/>
    </border>
    <border>
      <left/>
      <right/>
      <top/>
      <bottom style="medium">
        <color rgb="FFE5EBF4"/>
      </bottom>
      <diagonal/>
    </border>
    <border>
      <left/>
      <right style="medium">
        <color rgb="FFCCCCCC"/>
      </right>
      <top/>
      <bottom style="medium">
        <color rgb="FFE5EBF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medium">
        <color rgb="FFE5EBF4"/>
      </top>
      <bottom style="medium">
        <color rgb="FFE5EBF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medium">
        <color indexed="64"/>
      </bottom>
      <diagonal/>
    </border>
  </borders>
  <cellStyleXfs count="18">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lignment vertical="center"/>
    </xf>
    <xf numFmtId="0" fontId="8" fillId="7" borderId="0" applyNumberFormat="0" applyBorder="0" applyProtection="0">
      <alignment vertical="center"/>
    </xf>
    <xf numFmtId="165" fontId="9" fillId="0" borderId="0" applyFill="0" applyBorder="0" applyProtection="0">
      <alignment horizontal="right" vertical="center"/>
    </xf>
    <xf numFmtId="1" fontId="9" fillId="0" borderId="0" applyFill="0" applyBorder="0" applyProtection="0">
      <alignment horizontal="right" vertical="center"/>
    </xf>
    <xf numFmtId="0" fontId="10" fillId="0" borderId="0" applyNumberFormat="0" applyFill="0" applyBorder="0" applyProtection="0">
      <alignment horizontal="right" vertical="center"/>
    </xf>
    <xf numFmtId="0" fontId="6" fillId="0" borderId="0" applyNumberFormat="0" applyFill="0" applyBorder="0" applyProtection="0">
      <alignment horizontal="right" vertical="center"/>
    </xf>
    <xf numFmtId="0" fontId="6" fillId="6" borderId="0" applyNumberFormat="0" applyFont="0" applyBorder="0" applyAlignment="0" applyProtection="0">
      <alignment vertical="center"/>
    </xf>
    <xf numFmtId="0" fontId="6" fillId="0" borderId="0" applyNumberFormat="0" applyFont="0" applyFill="0" applyBorder="0" applyAlignment="0" applyProtection="0">
      <alignment vertical="center"/>
    </xf>
    <xf numFmtId="0" fontId="6" fillId="0" borderId="0" applyNumberFormat="0" applyFont="0" applyFill="0" applyBorder="0" applyProtection="0">
      <alignment horizontal="center" vertical="center"/>
    </xf>
    <xf numFmtId="0" fontId="12" fillId="0" borderId="0"/>
    <xf numFmtId="0" fontId="14" fillId="0" borderId="0"/>
    <xf numFmtId="165" fontId="9" fillId="0" borderId="0" applyFill="0" applyBorder="0" applyProtection="0">
      <alignment horizontal="right" vertical="center"/>
    </xf>
    <xf numFmtId="0" fontId="33" fillId="0" borderId="0" applyNumberFormat="0" applyFill="0" applyBorder="0" applyAlignment="0" applyProtection="0"/>
    <xf numFmtId="44" fontId="1" fillId="0" borderId="0" applyFont="0" applyFill="0" applyBorder="0" applyAlignment="0" applyProtection="0"/>
    <xf numFmtId="165" fontId="10" fillId="0" borderId="0" applyFill="0" applyBorder="0" applyProtection="0">
      <alignment horizontal="right" vertical="center"/>
    </xf>
  </cellStyleXfs>
  <cellXfs count="435">
    <xf numFmtId="0" fontId="0" fillId="0" borderId="0" xfId="0"/>
    <xf numFmtId="0" fontId="2" fillId="0" borderId="0" xfId="0" applyFont="1"/>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9" fontId="2" fillId="0" borderId="1" xfId="0" applyNumberFormat="1" applyFont="1" applyBorder="1" applyAlignment="1">
      <alignment horizontal="center" vertical="center"/>
    </xf>
    <xf numFmtId="9" fontId="2" fillId="0" borderId="0" xfId="0" applyNumberFormat="1" applyFont="1"/>
    <xf numFmtId="164" fontId="2" fillId="0" borderId="1" xfId="1" applyNumberFormat="1" applyFont="1" applyBorder="1" applyAlignment="1">
      <alignment horizontal="center" vertical="center"/>
    </xf>
    <xf numFmtId="165" fontId="0" fillId="0" borderId="0" xfId="0" applyNumberFormat="1"/>
    <xf numFmtId="0" fontId="6" fillId="0" borderId="0" xfId="3">
      <alignment vertical="center"/>
    </xf>
    <xf numFmtId="0" fontId="9" fillId="0" borderId="0" xfId="3" applyFont="1">
      <alignment vertical="center"/>
    </xf>
    <xf numFmtId="0" fontId="7" fillId="7" borderId="0" xfId="4" applyFont="1">
      <alignment vertical="center"/>
    </xf>
    <xf numFmtId="0" fontId="6" fillId="0" borderId="0" xfId="10">
      <alignment vertical="center"/>
    </xf>
    <xf numFmtId="0" fontId="6" fillId="0" borderId="0" xfId="10" applyAlignment="1">
      <alignment horizontal="left" vertical="center"/>
    </xf>
    <xf numFmtId="165" fontId="9" fillId="0" borderId="0" xfId="5">
      <alignment horizontal="right" vertical="center"/>
    </xf>
    <xf numFmtId="0" fontId="6" fillId="0" borderId="0" xfId="10" applyAlignment="1">
      <alignment horizontal="left" vertical="center" indent="1"/>
    </xf>
    <xf numFmtId="0" fontId="6" fillId="0" borderId="0" xfId="10" applyAlignment="1">
      <alignment horizontal="left" vertical="center" indent="2"/>
    </xf>
    <xf numFmtId="0" fontId="11" fillId="6" borderId="0" xfId="3" applyFont="1" applyFill="1">
      <alignment vertical="center"/>
    </xf>
    <xf numFmtId="0" fontId="7" fillId="6" borderId="0" xfId="4" applyFont="1" applyFill="1" applyBorder="1">
      <alignment vertical="center"/>
    </xf>
    <xf numFmtId="0" fontId="11" fillId="0" borderId="0" xfId="3" applyFont="1">
      <alignment vertical="center"/>
    </xf>
    <xf numFmtId="3" fontId="9" fillId="0" borderId="0" xfId="5" applyNumberFormat="1">
      <alignment horizontal="right" vertical="center"/>
    </xf>
    <xf numFmtId="0" fontId="2" fillId="8" borderId="0" xfId="0" applyFont="1" applyFill="1"/>
    <xf numFmtId="0" fontId="0" fillId="0" borderId="0" xfId="0" applyAlignment="1">
      <alignment wrapText="1"/>
    </xf>
    <xf numFmtId="0" fontId="0" fillId="8" borderId="0" xfId="0" applyFill="1"/>
    <xf numFmtId="0" fontId="0" fillId="8" borderId="0" xfId="0" applyFill="1" applyAlignment="1">
      <alignment wrapText="1"/>
    </xf>
    <xf numFmtId="164" fontId="0" fillId="0" borderId="0" xfId="1" applyNumberFormat="1" applyFont="1"/>
    <xf numFmtId="10" fontId="0" fillId="0" borderId="0" xfId="2" applyNumberFormat="1" applyFont="1"/>
    <xf numFmtId="2" fontId="13" fillId="0" borderId="1" xfId="12" applyNumberFormat="1" applyFont="1" applyBorder="1"/>
    <xf numFmtId="164" fontId="9" fillId="0" borderId="0" xfId="1" applyNumberFormat="1" applyFont="1" applyAlignment="1">
      <alignment horizontal="right" vertical="center"/>
    </xf>
    <xf numFmtId="164" fontId="13" fillId="0" borderId="1" xfId="1" applyNumberFormat="1" applyFont="1" applyBorder="1"/>
    <xf numFmtId="2" fontId="13" fillId="0" borderId="1" xfId="0" applyNumberFormat="1" applyFont="1" applyBorder="1"/>
    <xf numFmtId="0" fontId="6" fillId="9" borderId="0" xfId="10" applyFill="1" applyAlignment="1">
      <alignment horizontal="left" vertical="center"/>
    </xf>
    <xf numFmtId="0" fontId="6" fillId="9" borderId="0" xfId="3" applyFill="1">
      <alignment vertical="center"/>
    </xf>
    <xf numFmtId="2" fontId="13" fillId="9" borderId="1" xfId="0" applyNumberFormat="1" applyFont="1" applyFill="1" applyBorder="1"/>
    <xf numFmtId="3" fontId="0" fillId="0" borderId="0" xfId="0" applyNumberFormat="1"/>
    <xf numFmtId="10" fontId="0" fillId="0" borderId="0" xfId="0" applyNumberFormat="1"/>
    <xf numFmtId="0" fontId="0" fillId="0" borderId="0" xfId="0" applyAlignment="1">
      <alignment horizontal="center"/>
    </xf>
    <xf numFmtId="0" fontId="0" fillId="0" borderId="1" xfId="0" applyBorder="1"/>
    <xf numFmtId="43" fontId="0" fillId="0" borderId="1" xfId="0" applyNumberFormat="1" applyBorder="1"/>
    <xf numFmtId="0" fontId="2" fillId="0" borderId="1" xfId="0" applyFont="1" applyBorder="1"/>
    <xf numFmtId="10" fontId="2" fillId="0" borderId="1" xfId="2" applyNumberFormat="1" applyFont="1" applyBorder="1" applyAlignment="1">
      <alignment horizontal="center" vertical="center"/>
    </xf>
    <xf numFmtId="10" fontId="2" fillId="0" borderId="1" xfId="0" applyNumberFormat="1" applyFont="1" applyBorder="1" applyAlignment="1">
      <alignment horizontal="center" vertical="center"/>
    </xf>
    <xf numFmtId="43" fontId="2" fillId="0" borderId="1" xfId="0" applyNumberFormat="1" applyFont="1" applyBorder="1" applyAlignment="1">
      <alignment horizontal="center" vertical="center"/>
    </xf>
    <xf numFmtId="0" fontId="4" fillId="10" borderId="1" xfId="0" applyFont="1" applyFill="1" applyBorder="1" applyAlignment="1">
      <alignment horizontal="center" vertical="center"/>
    </xf>
    <xf numFmtId="0" fontId="4" fillId="10" borderId="1" xfId="0" applyFont="1" applyFill="1" applyBorder="1" applyAlignment="1">
      <alignment horizontal="center" vertical="center" wrapText="1"/>
    </xf>
    <xf numFmtId="0" fontId="5" fillId="11" borderId="0" xfId="0" applyFont="1" applyFill="1" applyAlignment="1">
      <alignment horizontal="center" vertical="center"/>
    </xf>
    <xf numFmtId="0" fontId="5" fillId="11" borderId="0" xfId="0" applyFont="1" applyFill="1" applyAlignment="1">
      <alignment horizontal="center"/>
    </xf>
    <xf numFmtId="0" fontId="5" fillId="11" borderId="0" xfId="0" applyFont="1" applyFill="1"/>
    <xf numFmtId="2" fontId="15" fillId="0" borderId="1" xfId="3" applyNumberFormat="1" applyFont="1" applyBorder="1" applyAlignment="1">
      <alignment horizontal="center"/>
    </xf>
    <xf numFmtId="2" fontId="2" fillId="0" borderId="1" xfId="0" applyNumberFormat="1" applyFont="1" applyBorder="1" applyAlignment="1">
      <alignment horizontal="center" vertical="center"/>
    </xf>
    <xf numFmtId="0" fontId="2" fillId="0" borderId="1" xfId="0" applyFont="1" applyBorder="1" applyAlignment="1">
      <alignment horizontal="center"/>
    </xf>
    <xf numFmtId="0" fontId="16" fillId="0" borderId="1" xfId="0" applyFont="1" applyBorder="1" applyAlignment="1">
      <alignment horizontal="center"/>
    </xf>
    <xf numFmtId="0" fontId="0" fillId="0" borderId="0" xfId="0" applyAlignment="1">
      <alignment horizontal="center" vertical="center"/>
    </xf>
    <xf numFmtId="0" fontId="17" fillId="0" borderId="1" xfId="0" applyFont="1" applyBorder="1" applyAlignment="1">
      <alignment horizontal="center"/>
    </xf>
    <xf numFmtId="0" fontId="0" fillId="0" borderId="1" xfId="0" applyBorder="1" applyAlignment="1">
      <alignment horizontal="center"/>
    </xf>
    <xf numFmtId="0" fontId="16" fillId="0" borderId="1" xfId="0" applyFont="1" applyBorder="1" applyAlignment="1">
      <alignment horizontal="center" vertical="center"/>
    </xf>
    <xf numFmtId="0" fontId="16" fillId="0" borderId="0" xfId="0" applyFont="1" applyAlignment="1">
      <alignment horizontal="center"/>
    </xf>
    <xf numFmtId="0" fontId="0" fillId="0" borderId="1" xfId="0" applyBorder="1" applyAlignment="1">
      <alignment horizontal="center" vertical="center"/>
    </xf>
    <xf numFmtId="164" fontId="4" fillId="0" borderId="1" xfId="1" applyNumberFormat="1" applyFont="1" applyBorder="1" applyAlignment="1">
      <alignment horizontal="center" vertical="center"/>
    </xf>
    <xf numFmtId="2" fontId="4" fillId="0" borderId="1" xfId="0" applyNumberFormat="1" applyFont="1" applyBorder="1" applyAlignment="1">
      <alignment horizontal="center" vertical="center"/>
    </xf>
    <xf numFmtId="0" fontId="4" fillId="0" borderId="1" xfId="0" applyFont="1" applyBorder="1" applyAlignment="1">
      <alignment horizontal="center"/>
    </xf>
    <xf numFmtId="0" fontId="18" fillId="0" borderId="1" xfId="0" applyFont="1" applyBorder="1" applyAlignment="1">
      <alignment horizontal="center"/>
    </xf>
    <xf numFmtId="0" fontId="2" fillId="0" borderId="0" xfId="0" applyFont="1" applyAlignment="1">
      <alignment horizontal="center"/>
    </xf>
    <xf numFmtId="0" fontId="2" fillId="0" borderId="0" xfId="0" applyFont="1" applyAlignment="1">
      <alignment horizontal="center" vertical="center"/>
    </xf>
    <xf numFmtId="166" fontId="2" fillId="0" borderId="0" xfId="2" applyNumberFormat="1" applyFont="1" applyAlignment="1">
      <alignment horizontal="center"/>
    </xf>
    <xf numFmtId="167" fontId="2" fillId="0" borderId="0" xfId="2" applyNumberFormat="1" applyFont="1" applyAlignment="1">
      <alignment horizontal="center"/>
    </xf>
    <xf numFmtId="0" fontId="4" fillId="11" borderId="1" xfId="0" applyFont="1" applyFill="1" applyBorder="1" applyAlignment="1">
      <alignment horizontal="center"/>
    </xf>
    <xf numFmtId="0" fontId="4" fillId="11" borderId="1" xfId="0" applyFont="1" applyFill="1" applyBorder="1" applyAlignment="1">
      <alignment horizontal="center" vertical="center"/>
    </xf>
    <xf numFmtId="164" fontId="2" fillId="0" borderId="1" xfId="0" applyNumberFormat="1" applyFont="1" applyBorder="1" applyAlignment="1">
      <alignment horizontal="center" vertical="center"/>
    </xf>
    <xf numFmtId="10" fontId="2" fillId="0" borderId="1" xfId="2" applyNumberFormat="1" applyFont="1" applyBorder="1" applyAlignment="1">
      <alignment horizontal="center"/>
    </xf>
    <xf numFmtId="168" fontId="2" fillId="0" borderId="1" xfId="0" applyNumberFormat="1" applyFont="1" applyBorder="1" applyAlignment="1">
      <alignment horizontal="center"/>
    </xf>
    <xf numFmtId="164" fontId="2" fillId="0" borderId="0" xfId="0" applyNumberFormat="1" applyFont="1" applyAlignment="1">
      <alignment horizontal="center"/>
    </xf>
    <xf numFmtId="164" fontId="0" fillId="0" borderId="1" xfId="0" applyNumberFormat="1" applyBorder="1"/>
    <xf numFmtId="43" fontId="2" fillId="0" borderId="0" xfId="1" applyFont="1" applyAlignment="1">
      <alignment horizontal="center"/>
    </xf>
    <xf numFmtId="0" fontId="2" fillId="0" borderId="2" xfId="0" applyFont="1" applyBorder="1"/>
    <xf numFmtId="0" fontId="4" fillId="0" borderId="0" xfId="0" applyFont="1" applyAlignment="1">
      <alignment horizontal="center" vertical="center"/>
    </xf>
    <xf numFmtId="164" fontId="4" fillId="0" borderId="0" xfId="1" applyNumberFormat="1" applyFont="1" applyBorder="1" applyAlignment="1">
      <alignment horizontal="center" vertical="center"/>
    </xf>
    <xf numFmtId="2" fontId="4" fillId="0" borderId="0" xfId="0" applyNumberFormat="1" applyFont="1" applyAlignment="1">
      <alignment horizontal="center" vertical="center"/>
    </xf>
    <xf numFmtId="0" fontId="4" fillId="0" borderId="0" xfId="0" applyFont="1" applyAlignment="1">
      <alignment horizontal="center"/>
    </xf>
    <xf numFmtId="43" fontId="0" fillId="0" borderId="0" xfId="0" applyNumberFormat="1"/>
    <xf numFmtId="0" fontId="18" fillId="0" borderId="0" xfId="0" applyFont="1" applyAlignment="1">
      <alignment horizontal="center"/>
    </xf>
    <xf numFmtId="14" fontId="0" fillId="0" borderId="0" xfId="0" applyNumberFormat="1"/>
    <xf numFmtId="0" fontId="14" fillId="0" borderId="0" xfId="13" applyAlignment="1">
      <alignment horizontal="right"/>
    </xf>
    <xf numFmtId="2" fontId="14" fillId="0" borderId="0" xfId="13" applyNumberFormat="1"/>
    <xf numFmtId="0" fontId="0" fillId="0" borderId="2" xfId="0" applyBorder="1"/>
    <xf numFmtId="0" fontId="16" fillId="0" borderId="3" xfId="0" applyFont="1" applyBorder="1" applyAlignment="1">
      <alignment horizontal="center"/>
    </xf>
    <xf numFmtId="0" fontId="16" fillId="0" borderId="3" xfId="0" applyFont="1" applyBorder="1" applyAlignment="1">
      <alignment horizontal="centerContinuous"/>
    </xf>
    <xf numFmtId="0" fontId="0" fillId="11" borderId="0" xfId="0" applyFill="1"/>
    <xf numFmtId="0" fontId="2" fillId="0" borderId="4" xfId="0" applyFont="1" applyBorder="1" applyAlignment="1">
      <alignment horizontal="center"/>
    </xf>
    <xf numFmtId="43" fontId="2" fillId="0" borderId="0" xfId="0" applyNumberFormat="1" applyFont="1" applyAlignment="1">
      <alignment horizontal="center"/>
    </xf>
    <xf numFmtId="2" fontId="0" fillId="0" borderId="0" xfId="0" applyNumberFormat="1"/>
    <xf numFmtId="0" fontId="0" fillId="0" borderId="0" xfId="0" applyAlignment="1">
      <alignment horizontal="right"/>
    </xf>
    <xf numFmtId="0" fontId="19" fillId="0" borderId="1" xfId="0" applyFont="1" applyBorder="1" applyAlignment="1">
      <alignment horizontal="center" vertical="center"/>
    </xf>
    <xf numFmtId="9" fontId="19" fillId="0" borderId="1" xfId="0" applyNumberFormat="1" applyFont="1" applyBorder="1" applyAlignment="1">
      <alignment horizontal="center" vertical="center"/>
    </xf>
    <xf numFmtId="9" fontId="19" fillId="0" borderId="1" xfId="0" applyNumberFormat="1" applyFont="1" applyBorder="1" applyAlignment="1">
      <alignment horizontal="center" vertical="center" wrapText="1"/>
    </xf>
    <xf numFmtId="0" fontId="20" fillId="0" borderId="1" xfId="0" applyFont="1" applyBorder="1" applyAlignment="1">
      <alignment horizontal="center" vertical="center"/>
    </xf>
    <xf numFmtId="169" fontId="14" fillId="0" borderId="0" xfId="13" applyNumberFormat="1"/>
    <xf numFmtId="9" fontId="0" fillId="0" borderId="0" xfId="2" applyFont="1"/>
    <xf numFmtId="9" fontId="0" fillId="0" borderId="0" xfId="0" applyNumberFormat="1"/>
    <xf numFmtId="10" fontId="19" fillId="0" borderId="1" xfId="0" applyNumberFormat="1" applyFont="1" applyBorder="1" applyAlignment="1">
      <alignment horizontal="center" vertical="center"/>
    </xf>
    <xf numFmtId="10" fontId="19" fillId="0" borderId="1" xfId="2" applyNumberFormat="1" applyFont="1" applyBorder="1" applyAlignment="1">
      <alignment horizontal="center" vertical="center"/>
    </xf>
    <xf numFmtId="0" fontId="21" fillId="4" borderId="1" xfId="0" applyFont="1" applyFill="1" applyBorder="1" applyAlignment="1">
      <alignment horizontal="center" vertical="center"/>
    </xf>
    <xf numFmtId="10" fontId="19" fillId="0" borderId="0" xfId="0" applyNumberFormat="1" applyFont="1"/>
    <xf numFmtId="0" fontId="19" fillId="0" borderId="0" xfId="0" applyFont="1"/>
    <xf numFmtId="10" fontId="19" fillId="0" borderId="0" xfId="2" applyNumberFormat="1" applyFont="1"/>
    <xf numFmtId="164" fontId="19" fillId="0" borderId="0" xfId="1" applyNumberFormat="1" applyFont="1"/>
    <xf numFmtId="0" fontId="20" fillId="12" borderId="1" xfId="0" applyFont="1" applyFill="1" applyBorder="1" applyAlignment="1">
      <alignment horizontal="center" vertical="center"/>
    </xf>
    <xf numFmtId="0" fontId="19" fillId="0" borderId="0" xfId="0" applyFont="1" applyAlignment="1">
      <alignment vertical="center"/>
    </xf>
    <xf numFmtId="38" fontId="19" fillId="0" borderId="0" xfId="0" applyNumberFormat="1" applyFont="1" applyAlignment="1">
      <alignment vertical="center"/>
    </xf>
    <xf numFmtId="10" fontId="19" fillId="0" borderId="0" xfId="0" applyNumberFormat="1" applyFont="1" applyAlignment="1">
      <alignment vertical="center"/>
    </xf>
    <xf numFmtId="43" fontId="22" fillId="2" borderId="1" xfId="1" applyFont="1" applyFill="1" applyBorder="1" applyAlignment="1">
      <alignment horizontal="center" vertical="center"/>
    </xf>
    <xf numFmtId="0" fontId="23" fillId="0" borderId="5" xfId="0" applyFont="1" applyBorder="1" applyAlignment="1">
      <alignment horizontal="left"/>
    </xf>
    <xf numFmtId="38" fontId="23" fillId="0" borderId="6" xfId="0" applyNumberFormat="1" applyFont="1" applyBorder="1" applyAlignment="1">
      <alignment horizontal="right" wrapText="1"/>
    </xf>
    <xf numFmtId="170" fontId="19" fillId="0" borderId="0" xfId="0" applyNumberFormat="1" applyFont="1"/>
    <xf numFmtId="10" fontId="20" fillId="13" borderId="0" xfId="2" applyNumberFormat="1" applyFont="1" applyFill="1" applyAlignment="1">
      <alignment horizontal="center" vertical="center"/>
    </xf>
    <xf numFmtId="0" fontId="20" fillId="13" borderId="0" xfId="0" applyFont="1" applyFill="1" applyAlignment="1">
      <alignment horizontal="center" vertical="center" wrapText="1"/>
    </xf>
    <xf numFmtId="0" fontId="20" fillId="14" borderId="1" xfId="0" applyFont="1" applyFill="1" applyBorder="1" applyAlignment="1">
      <alignment horizontal="center" vertical="center"/>
    </xf>
    <xf numFmtId="164" fontId="20" fillId="14" borderId="1" xfId="1" applyNumberFormat="1" applyFont="1" applyFill="1" applyBorder="1" applyAlignment="1">
      <alignment horizontal="center" vertical="center"/>
    </xf>
    <xf numFmtId="10" fontId="19" fillId="0" borderId="0" xfId="2" applyNumberFormat="1" applyFont="1" applyAlignment="1">
      <alignment horizontal="center"/>
    </xf>
    <xf numFmtId="10" fontId="9" fillId="0" borderId="0" xfId="2" applyNumberFormat="1" applyFont="1" applyAlignment="1">
      <alignment horizontal="right" vertical="center"/>
    </xf>
    <xf numFmtId="0" fontId="19" fillId="14" borderId="1" xfId="0" applyFont="1" applyFill="1" applyBorder="1" applyAlignment="1">
      <alignment horizontal="center" vertical="center"/>
    </xf>
    <xf numFmtId="164" fontId="19" fillId="14" borderId="1" xfId="1" applyNumberFormat="1" applyFont="1" applyFill="1" applyBorder="1" applyAlignment="1">
      <alignment horizontal="center" vertical="center"/>
    </xf>
    <xf numFmtId="10" fontId="19" fillId="14" borderId="1" xfId="2" applyNumberFormat="1" applyFont="1" applyFill="1" applyBorder="1" applyAlignment="1">
      <alignment horizontal="center" vertical="center"/>
    </xf>
    <xf numFmtId="10" fontId="19" fillId="14" borderId="1" xfId="0" applyNumberFormat="1" applyFont="1" applyFill="1" applyBorder="1" applyAlignment="1">
      <alignment horizontal="center" vertical="center"/>
    </xf>
    <xf numFmtId="165" fontId="9" fillId="0" borderId="0" xfId="14">
      <alignment horizontal="right" vertical="center"/>
    </xf>
    <xf numFmtId="164" fontId="19" fillId="0" borderId="0" xfId="0" applyNumberFormat="1" applyFont="1"/>
    <xf numFmtId="9" fontId="19" fillId="14" borderId="1" xfId="2" applyFont="1" applyFill="1" applyBorder="1" applyAlignment="1">
      <alignment horizontal="center" vertical="center"/>
    </xf>
    <xf numFmtId="164" fontId="19" fillId="13" borderId="0" xfId="1" applyNumberFormat="1" applyFont="1" applyFill="1"/>
    <xf numFmtId="0" fontId="19" fillId="13" borderId="0" xfId="0" applyFont="1" applyFill="1"/>
    <xf numFmtId="43" fontId="19" fillId="0" borderId="0" xfId="0" applyNumberFormat="1" applyFont="1"/>
    <xf numFmtId="10" fontId="19" fillId="0" borderId="0" xfId="2" applyNumberFormat="1" applyFont="1" applyAlignment="1">
      <alignment vertical="center"/>
    </xf>
    <xf numFmtId="10" fontId="19" fillId="0" borderId="0" xfId="0" applyNumberFormat="1" applyFont="1" applyAlignment="1">
      <alignment horizontal="center"/>
    </xf>
    <xf numFmtId="0" fontId="19" fillId="0" borderId="0" xfId="0" applyFont="1" applyAlignment="1">
      <alignment horizontal="center"/>
    </xf>
    <xf numFmtId="167" fontId="19" fillId="14" borderId="1" xfId="0" applyNumberFormat="1" applyFont="1" applyFill="1" applyBorder="1" applyAlignment="1">
      <alignment horizontal="center" vertical="center"/>
    </xf>
    <xf numFmtId="0" fontId="19" fillId="15" borderId="0" xfId="0" applyFont="1" applyFill="1"/>
    <xf numFmtId="38" fontId="20" fillId="14" borderId="1" xfId="0" applyNumberFormat="1" applyFont="1" applyFill="1" applyBorder="1" applyAlignment="1">
      <alignment horizontal="center" vertical="center"/>
    </xf>
    <xf numFmtId="0" fontId="19" fillId="15" borderId="0" xfId="0" applyFont="1" applyFill="1" applyAlignment="1">
      <alignment vertical="center"/>
    </xf>
    <xf numFmtId="164" fontId="19" fillId="15" borderId="0" xfId="1" applyNumberFormat="1" applyFont="1" applyFill="1"/>
    <xf numFmtId="0" fontId="19" fillId="15" borderId="0" xfId="0" applyFont="1" applyFill="1" applyAlignment="1">
      <alignment horizontal="center"/>
    </xf>
    <xf numFmtId="0" fontId="24" fillId="4" borderId="1" xfId="0" applyFont="1" applyFill="1" applyBorder="1" applyAlignment="1">
      <alignment horizontal="center" vertical="center"/>
    </xf>
    <xf numFmtId="10" fontId="19" fillId="3" borderId="0" xfId="0" applyNumberFormat="1" applyFont="1" applyFill="1"/>
    <xf numFmtId="0" fontId="19" fillId="3" borderId="1" xfId="0" applyFont="1" applyFill="1" applyBorder="1"/>
    <xf numFmtId="0" fontId="19" fillId="0" borderId="1" xfId="0" applyFont="1" applyBorder="1"/>
    <xf numFmtId="0" fontId="19" fillId="15" borderId="1" xfId="0" applyFont="1" applyFill="1" applyBorder="1"/>
    <xf numFmtId="10" fontId="19" fillId="0" borderId="1" xfId="2" applyNumberFormat="1" applyFont="1" applyBorder="1"/>
    <xf numFmtId="10" fontId="19" fillId="0" borderId="1" xfId="0" applyNumberFormat="1" applyFont="1" applyBorder="1"/>
    <xf numFmtId="0" fontId="19" fillId="0" borderId="1" xfId="0" applyFont="1" applyBorder="1" applyAlignment="1">
      <alignment wrapText="1"/>
    </xf>
    <xf numFmtId="171" fontId="19" fillId="0" borderId="1" xfId="0" applyNumberFormat="1" applyFont="1" applyBorder="1"/>
    <xf numFmtId="172" fontId="19" fillId="14" borderId="1" xfId="1" applyNumberFormat="1" applyFont="1" applyFill="1" applyBorder="1" applyAlignment="1">
      <alignment horizontal="center" vertical="center"/>
    </xf>
    <xf numFmtId="3" fontId="19" fillId="3" borderId="1" xfId="0" applyNumberFormat="1" applyFont="1" applyFill="1" applyBorder="1"/>
    <xf numFmtId="3" fontId="0" fillId="0" borderId="1" xfId="0" applyNumberFormat="1" applyBorder="1"/>
    <xf numFmtId="9" fontId="19" fillId="14" borderId="1" xfId="0" applyNumberFormat="1" applyFont="1" applyFill="1" applyBorder="1" applyAlignment="1">
      <alignment horizontal="center" vertical="center"/>
    </xf>
    <xf numFmtId="3" fontId="0" fillId="14" borderId="1" xfId="0" applyNumberFormat="1" applyFill="1" applyBorder="1" applyAlignment="1">
      <alignment horizontal="center" vertical="center"/>
    </xf>
    <xf numFmtId="3" fontId="0" fillId="3" borderId="1" xfId="0" applyNumberFormat="1" applyFill="1" applyBorder="1"/>
    <xf numFmtId="164" fontId="20" fillId="0" borderId="1" xfId="1" applyNumberFormat="1" applyFont="1" applyBorder="1" applyAlignment="1">
      <alignment horizontal="center" vertical="center"/>
    </xf>
    <xf numFmtId="173" fontId="19" fillId="14" borderId="1" xfId="2" applyNumberFormat="1" applyFont="1" applyFill="1" applyBorder="1" applyAlignment="1">
      <alignment horizontal="center" vertical="center"/>
    </xf>
    <xf numFmtId="43" fontId="19" fillId="14" borderId="1" xfId="1" applyFont="1" applyFill="1" applyBorder="1" applyAlignment="1">
      <alignment horizontal="center" vertical="center"/>
    </xf>
    <xf numFmtId="3" fontId="19" fillId="0" borderId="1" xfId="0" applyNumberFormat="1" applyFont="1" applyBorder="1"/>
    <xf numFmtId="164" fontId="19" fillId="0" borderId="1" xfId="0" applyNumberFormat="1" applyFont="1" applyBorder="1"/>
    <xf numFmtId="10" fontId="19" fillId="3" borderId="0" xfId="0" applyNumberFormat="1" applyFont="1" applyFill="1" applyAlignment="1">
      <alignment horizontal="left"/>
    </xf>
    <xf numFmtId="0" fontId="19" fillId="3" borderId="1" xfId="0" applyFont="1" applyFill="1" applyBorder="1" applyAlignment="1">
      <alignment horizontal="left"/>
    </xf>
    <xf numFmtId="0" fontId="0" fillId="14" borderId="1" xfId="0" applyFill="1" applyBorder="1" applyAlignment="1">
      <alignment horizontal="center" vertical="center"/>
    </xf>
    <xf numFmtId="3" fontId="19" fillId="14" borderId="1" xfId="0" applyNumberFormat="1" applyFont="1" applyFill="1" applyBorder="1" applyAlignment="1">
      <alignment horizontal="center" vertical="center"/>
    </xf>
    <xf numFmtId="173" fontId="19" fillId="14"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9" fontId="19" fillId="0" borderId="1" xfId="2" applyFont="1" applyBorder="1" applyAlignment="1">
      <alignment horizontal="center" vertical="center"/>
    </xf>
    <xf numFmtId="164" fontId="19" fillId="0" borderId="1" xfId="1" applyNumberFormat="1" applyFont="1" applyBorder="1" applyAlignment="1">
      <alignment horizontal="center" vertical="center"/>
    </xf>
    <xf numFmtId="0" fontId="23" fillId="16" borderId="5" xfId="0" applyFont="1" applyFill="1" applyBorder="1" applyAlignment="1">
      <alignment horizontal="left"/>
    </xf>
    <xf numFmtId="38" fontId="23" fillId="16" borderId="6" xfId="0" applyNumberFormat="1" applyFont="1" applyFill="1" applyBorder="1" applyAlignment="1">
      <alignment horizontal="right" wrapText="1"/>
    </xf>
    <xf numFmtId="43" fontId="19" fillId="0" borderId="1" xfId="0" applyNumberFormat="1" applyFont="1" applyBorder="1" applyAlignment="1">
      <alignment horizontal="center" vertical="center"/>
    </xf>
    <xf numFmtId="0" fontId="23" fillId="17" borderId="5" xfId="0" applyFont="1" applyFill="1" applyBorder="1" applyAlignment="1">
      <alignment horizontal="left"/>
    </xf>
    <xf numFmtId="9" fontId="19" fillId="0" borderId="0" xfId="0" applyNumberFormat="1" applyFont="1"/>
    <xf numFmtId="173" fontId="19" fillId="0" borderId="0" xfId="0" applyNumberFormat="1" applyFont="1"/>
    <xf numFmtId="0" fontId="19" fillId="0" borderId="0" xfId="0" applyFont="1" applyAlignment="1">
      <alignment horizontal="center" vertical="center"/>
    </xf>
    <xf numFmtId="43" fontId="19" fillId="0" borderId="0" xfId="0" applyNumberFormat="1" applyFont="1" applyAlignment="1">
      <alignment horizontal="center" vertical="center"/>
    </xf>
    <xf numFmtId="164" fontId="19" fillId="0" borderId="0" xfId="0" applyNumberFormat="1" applyFont="1" applyAlignment="1">
      <alignment horizontal="center" vertical="center"/>
    </xf>
    <xf numFmtId="164" fontId="19" fillId="0" borderId="0" xfId="1" applyNumberFormat="1" applyFont="1" applyAlignment="1">
      <alignment horizontal="center" vertical="center"/>
    </xf>
    <xf numFmtId="38" fontId="23" fillId="13" borderId="6" xfId="0" applyNumberFormat="1" applyFont="1" applyFill="1" applyBorder="1" applyAlignment="1">
      <alignment horizontal="right" wrapText="1"/>
    </xf>
    <xf numFmtId="0" fontId="20" fillId="0" borderId="0" xfId="0" applyFont="1" applyAlignment="1">
      <alignment horizontal="center" vertical="center"/>
    </xf>
    <xf numFmtId="164" fontId="20" fillId="0" borderId="0" xfId="1" applyNumberFormat="1" applyFont="1" applyAlignment="1">
      <alignment horizontal="center" vertical="center"/>
    </xf>
    <xf numFmtId="164" fontId="20" fillId="0" borderId="0" xfId="0" applyNumberFormat="1" applyFont="1" applyAlignment="1">
      <alignment horizontal="center" vertical="center"/>
    </xf>
    <xf numFmtId="174" fontId="19" fillId="0" borderId="0" xfId="2" applyNumberFormat="1" applyFont="1" applyAlignment="1">
      <alignment horizontal="center" vertical="center"/>
    </xf>
    <xf numFmtId="10" fontId="19" fillId="0" borderId="0" xfId="2" applyNumberFormat="1" applyFont="1" applyAlignment="1">
      <alignment horizontal="center" vertical="center"/>
    </xf>
    <xf numFmtId="10" fontId="19" fillId="0" borderId="0" xfId="0" applyNumberFormat="1" applyFont="1" applyAlignment="1">
      <alignment horizontal="center" vertical="center"/>
    </xf>
    <xf numFmtId="175" fontId="23" fillId="0" borderId="6" xfId="0" applyNumberFormat="1" applyFont="1" applyBorder="1" applyAlignment="1">
      <alignment horizontal="right"/>
    </xf>
    <xf numFmtId="2" fontId="0" fillId="18" borderId="0" xfId="0" applyNumberFormat="1" applyFill="1"/>
    <xf numFmtId="0" fontId="23" fillId="19" borderId="5" xfId="0" applyFont="1" applyFill="1" applyBorder="1" applyAlignment="1">
      <alignment horizontal="left"/>
    </xf>
    <xf numFmtId="10" fontId="25" fillId="0" borderId="7" xfId="0" applyNumberFormat="1" applyFont="1" applyBorder="1" applyAlignment="1">
      <alignment horizontal="right"/>
    </xf>
    <xf numFmtId="10" fontId="0" fillId="18" borderId="0" xfId="2" applyNumberFormat="1" applyFont="1" applyFill="1"/>
    <xf numFmtId="0" fontId="0" fillId="18" borderId="0" xfId="0" applyFill="1"/>
    <xf numFmtId="0" fontId="25" fillId="0" borderId="8" xfId="0" applyFont="1" applyBorder="1"/>
    <xf numFmtId="0" fontId="25" fillId="0" borderId="7" xfId="0" applyFont="1" applyBorder="1" applyAlignment="1">
      <alignment horizontal="right"/>
    </xf>
    <xf numFmtId="10" fontId="0" fillId="18" borderId="0" xfId="0" applyNumberFormat="1" applyFill="1"/>
    <xf numFmtId="176" fontId="0" fillId="18" borderId="0" xfId="1" applyNumberFormat="1" applyFont="1" applyFill="1"/>
    <xf numFmtId="164" fontId="19" fillId="0" borderId="9" xfId="1" applyNumberFormat="1" applyFont="1" applyBorder="1" applyAlignment="1">
      <alignment horizontal="center" vertical="center"/>
    </xf>
    <xf numFmtId="164" fontId="19" fillId="0" borderId="10" xfId="1" applyNumberFormat="1" applyFont="1" applyBorder="1" applyAlignment="1">
      <alignment horizontal="center" vertical="center"/>
    </xf>
    <xf numFmtId="177" fontId="22" fillId="5" borderId="0" xfId="1" applyNumberFormat="1" applyFont="1" applyFill="1" applyBorder="1" applyAlignment="1">
      <alignment horizontal="center" vertical="center"/>
    </xf>
    <xf numFmtId="177" fontId="26" fillId="14" borderId="0" xfId="1" applyNumberFormat="1" applyFont="1" applyFill="1" applyBorder="1" applyAlignment="1">
      <alignment horizontal="center" vertical="center"/>
    </xf>
    <xf numFmtId="177" fontId="27" fillId="14" borderId="0" xfId="1" applyNumberFormat="1" applyFont="1" applyFill="1" applyBorder="1" applyAlignment="1">
      <alignment horizontal="center" vertical="center"/>
    </xf>
    <xf numFmtId="177" fontId="22" fillId="20" borderId="0" xfId="1" applyNumberFormat="1" applyFont="1" applyFill="1" applyBorder="1" applyAlignment="1">
      <alignment horizontal="center" vertical="center"/>
    </xf>
    <xf numFmtId="177" fontId="22" fillId="20" borderId="0" xfId="0" applyNumberFormat="1" applyFont="1" applyFill="1" applyAlignment="1">
      <alignment horizontal="center" vertical="center"/>
    </xf>
    <xf numFmtId="177" fontId="28" fillId="12" borderId="0" xfId="1" applyNumberFormat="1" applyFont="1" applyFill="1" applyBorder="1" applyAlignment="1">
      <alignment horizontal="center" vertical="center"/>
    </xf>
    <xf numFmtId="10" fontId="29" fillId="12" borderId="0" xfId="2" applyNumberFormat="1" applyFont="1" applyFill="1" applyBorder="1" applyAlignment="1">
      <alignment horizontal="center" vertical="center"/>
    </xf>
    <xf numFmtId="177" fontId="29" fillId="12" borderId="0" xfId="1" applyNumberFormat="1" applyFont="1" applyFill="1" applyBorder="1" applyAlignment="1">
      <alignment horizontal="center" vertical="center"/>
    </xf>
    <xf numFmtId="177" fontId="29" fillId="12" borderId="0" xfId="0" applyNumberFormat="1" applyFont="1" applyFill="1" applyAlignment="1">
      <alignment horizontal="center" vertical="center"/>
    </xf>
    <xf numFmtId="164" fontId="19" fillId="0" borderId="11" xfId="1" applyNumberFormat="1" applyFont="1" applyBorder="1" applyAlignment="1">
      <alignment horizontal="center" vertical="center"/>
    </xf>
    <xf numFmtId="164" fontId="19" fillId="0" borderId="11" xfId="0" applyNumberFormat="1" applyFont="1" applyBorder="1" applyAlignment="1">
      <alignment horizontal="center" vertical="center"/>
    </xf>
    <xf numFmtId="168" fontId="19" fillId="0" borderId="1" xfId="0" applyNumberFormat="1" applyFont="1" applyBorder="1" applyAlignment="1">
      <alignment horizontal="center" vertical="center"/>
    </xf>
    <xf numFmtId="4" fontId="19" fillId="0" borderId="0" xfId="0" applyNumberFormat="1" applyFont="1"/>
    <xf numFmtId="8" fontId="19" fillId="0" borderId="1" xfId="0" applyNumberFormat="1" applyFont="1" applyBorder="1" applyAlignment="1">
      <alignment horizontal="center" vertical="center"/>
    </xf>
    <xf numFmtId="43" fontId="19" fillId="0" borderId="0" xfId="1" applyFont="1"/>
    <xf numFmtId="4" fontId="12" fillId="0" borderId="0" xfId="12" applyNumberFormat="1" applyAlignment="1">
      <alignment horizontal="right" vertical="center"/>
    </xf>
    <xf numFmtId="43" fontId="19" fillId="0" borderId="1" xfId="1" applyFont="1" applyBorder="1" applyAlignment="1">
      <alignment horizontal="center" vertical="center"/>
    </xf>
    <xf numFmtId="164" fontId="19" fillId="0" borderId="1" xfId="0" applyNumberFormat="1" applyFont="1" applyBorder="1" applyAlignment="1">
      <alignment horizontal="center" vertical="center"/>
    </xf>
    <xf numFmtId="38" fontId="23" fillId="17" borderId="6" xfId="0" applyNumberFormat="1" applyFont="1" applyFill="1" applyBorder="1" applyAlignment="1">
      <alignment horizontal="right" wrapText="1"/>
    </xf>
    <xf numFmtId="0" fontId="23" fillId="17" borderId="0" xfId="0" applyFont="1" applyFill="1" applyAlignment="1">
      <alignment horizontal="left"/>
    </xf>
    <xf numFmtId="38" fontId="23" fillId="17" borderId="0" xfId="0" applyNumberFormat="1" applyFont="1" applyFill="1" applyAlignment="1">
      <alignment horizontal="right" wrapText="1"/>
    </xf>
    <xf numFmtId="0" fontId="23" fillId="21" borderId="5" xfId="0" applyFont="1" applyFill="1" applyBorder="1" applyAlignment="1">
      <alignment horizontal="left" indent="1"/>
    </xf>
    <xf numFmtId="38" fontId="23" fillId="22" borderId="6" xfId="0" applyNumberFormat="1" applyFont="1" applyFill="1" applyBorder="1" applyAlignment="1">
      <alignment horizontal="right" wrapText="1"/>
    </xf>
    <xf numFmtId="0" fontId="23" fillId="16" borderId="5" xfId="0" applyFont="1" applyFill="1" applyBorder="1" applyAlignment="1">
      <alignment horizontal="left" indent="1"/>
    </xf>
    <xf numFmtId="38" fontId="23" fillId="16" borderId="0" xfId="0" applyNumberFormat="1" applyFont="1" applyFill="1" applyAlignment="1">
      <alignment horizontal="right" wrapText="1"/>
    </xf>
    <xf numFmtId="0" fontId="19" fillId="0" borderId="11" xfId="0" applyFont="1" applyBorder="1" applyAlignment="1">
      <alignment horizontal="center" vertical="center"/>
    </xf>
    <xf numFmtId="0" fontId="19" fillId="0" borderId="10" xfId="0" applyFont="1" applyBorder="1" applyAlignment="1">
      <alignment horizontal="center" vertical="center"/>
    </xf>
    <xf numFmtId="0" fontId="23" fillId="2" borderId="12" xfId="0" applyFont="1" applyFill="1" applyBorder="1" applyAlignment="1">
      <alignment horizontal="center" vertical="center"/>
    </xf>
    <xf numFmtId="38" fontId="23" fillId="2" borderId="6" xfId="0" applyNumberFormat="1" applyFont="1" applyFill="1" applyBorder="1" applyAlignment="1">
      <alignment horizontal="center" vertical="center" wrapText="1"/>
    </xf>
    <xf numFmtId="0" fontId="30" fillId="5" borderId="0" xfId="1" applyNumberFormat="1" applyFont="1" applyFill="1" applyAlignment="1">
      <alignment horizontal="center" vertical="center"/>
    </xf>
    <xf numFmtId="177" fontId="31" fillId="14" borderId="0" xfId="1" applyNumberFormat="1" applyFont="1" applyFill="1" applyAlignment="1">
      <alignment horizontal="center" vertical="center"/>
    </xf>
    <xf numFmtId="10" fontId="32" fillId="14" borderId="0" xfId="2" applyNumberFormat="1" applyFont="1" applyFill="1" applyAlignment="1">
      <alignment horizontal="center" vertical="center"/>
    </xf>
    <xf numFmtId="177" fontId="32" fillId="14" borderId="0" xfId="1" applyNumberFormat="1" applyFont="1" applyFill="1" applyAlignment="1">
      <alignment horizontal="center" vertical="center"/>
    </xf>
    <xf numFmtId="0" fontId="19" fillId="0" borderId="13" xfId="0" applyFont="1" applyBorder="1" applyAlignment="1">
      <alignment horizontal="center" vertical="center"/>
    </xf>
    <xf numFmtId="0" fontId="21" fillId="4" borderId="1" xfId="0" applyFont="1" applyFill="1" applyBorder="1" applyAlignment="1">
      <alignment vertical="center"/>
    </xf>
    <xf numFmtId="0" fontId="22" fillId="13" borderId="1" xfId="0" applyFont="1" applyFill="1" applyBorder="1" applyAlignment="1">
      <alignment vertical="center"/>
    </xf>
    <xf numFmtId="0" fontId="19" fillId="3" borderId="15" xfId="0" applyFont="1" applyFill="1" applyBorder="1"/>
    <xf numFmtId="0" fontId="19" fillId="0" borderId="15" xfId="0" applyFont="1" applyBorder="1"/>
    <xf numFmtId="0" fontId="19" fillId="3" borderId="15" xfId="0" applyFont="1" applyFill="1" applyBorder="1" applyAlignment="1">
      <alignment horizontal="left"/>
    </xf>
    <xf numFmtId="164" fontId="19" fillId="0" borderId="0" xfId="1" applyNumberFormat="1" applyFont="1" applyFill="1" applyBorder="1"/>
    <xf numFmtId="0" fontId="21" fillId="0" borderId="0" xfId="0" applyFont="1" applyAlignment="1">
      <alignment vertical="center"/>
    </xf>
    <xf numFmtId="0" fontId="19" fillId="0" borderId="0" xfId="0" applyFont="1" applyAlignment="1">
      <alignment horizontal="left"/>
    </xf>
    <xf numFmtId="0" fontId="22" fillId="0" borderId="0" xfId="0" applyFont="1" applyAlignment="1">
      <alignment vertical="center"/>
    </xf>
    <xf numFmtId="0" fontId="21" fillId="23" borderId="1" xfId="0" applyFont="1" applyFill="1" applyBorder="1" applyAlignment="1">
      <alignment horizontal="center" vertical="center"/>
    </xf>
    <xf numFmtId="164" fontId="20" fillId="0" borderId="0" xfId="1" applyNumberFormat="1" applyFont="1" applyBorder="1" applyAlignment="1">
      <alignment horizontal="center" vertical="center"/>
    </xf>
    <xf numFmtId="164" fontId="19" fillId="0" borderId="0" xfId="1" applyNumberFormat="1" applyFont="1" applyBorder="1" applyAlignment="1">
      <alignment horizontal="center" vertical="center"/>
    </xf>
    <xf numFmtId="10" fontId="19" fillId="0" borderId="0" xfId="2" applyNumberFormat="1" applyFont="1" applyBorder="1" applyAlignment="1">
      <alignment horizontal="center" vertical="center"/>
    </xf>
    <xf numFmtId="0" fontId="23" fillId="16" borderId="0" xfId="0" applyFont="1" applyFill="1" applyAlignment="1">
      <alignment horizontal="left"/>
    </xf>
    <xf numFmtId="0" fontId="23" fillId="0" borderId="0" xfId="0" applyFont="1" applyAlignment="1">
      <alignment horizontal="left"/>
    </xf>
    <xf numFmtId="38" fontId="23" fillId="13" borderId="0" xfId="0" applyNumberFormat="1" applyFont="1" applyFill="1" applyAlignment="1">
      <alignment horizontal="right" wrapText="1"/>
    </xf>
    <xf numFmtId="174" fontId="19" fillId="0" borderId="0" xfId="2" applyNumberFormat="1" applyFont="1" applyBorder="1" applyAlignment="1">
      <alignment horizontal="center" vertical="center"/>
    </xf>
    <xf numFmtId="175" fontId="23" fillId="0" borderId="0" xfId="0" applyNumberFormat="1" applyFont="1" applyAlignment="1">
      <alignment horizontal="right"/>
    </xf>
    <xf numFmtId="0" fontId="23" fillId="19" borderId="0" xfId="0" applyFont="1" applyFill="1" applyAlignment="1">
      <alignment horizontal="left"/>
    </xf>
    <xf numFmtId="10" fontId="25" fillId="0" borderId="0" xfId="0" applyNumberFormat="1" applyFont="1" applyAlignment="1">
      <alignment horizontal="right"/>
    </xf>
    <xf numFmtId="10" fontId="0" fillId="18" borderId="0" xfId="2" applyNumberFormat="1" applyFont="1" applyFill="1" applyBorder="1"/>
    <xf numFmtId="0" fontId="25" fillId="0" borderId="0" xfId="0" applyFont="1"/>
    <xf numFmtId="0" fontId="25" fillId="0" borderId="0" xfId="0" applyFont="1" applyAlignment="1">
      <alignment horizontal="right"/>
    </xf>
    <xf numFmtId="176" fontId="0" fillId="18" borderId="0" xfId="1" applyNumberFormat="1" applyFont="1" applyFill="1" applyBorder="1"/>
    <xf numFmtId="168" fontId="19" fillId="0" borderId="0" xfId="0" applyNumberFormat="1" applyFont="1" applyAlignment="1">
      <alignment horizontal="center" vertical="center"/>
    </xf>
    <xf numFmtId="8" fontId="19" fillId="0" borderId="0" xfId="0" applyNumberFormat="1" applyFont="1" applyAlignment="1">
      <alignment horizontal="center" vertical="center"/>
    </xf>
    <xf numFmtId="43" fontId="19" fillId="0" borderId="0" xfId="1" applyFont="1" applyBorder="1" applyAlignment="1">
      <alignment horizontal="center" vertical="center"/>
    </xf>
    <xf numFmtId="9" fontId="19" fillId="0" borderId="0" xfId="0" applyNumberFormat="1" applyFont="1" applyAlignment="1">
      <alignment horizontal="center" vertical="center"/>
    </xf>
    <xf numFmtId="38" fontId="23" fillId="0" borderId="0" xfId="0" applyNumberFormat="1" applyFont="1" applyAlignment="1">
      <alignment horizontal="right" wrapText="1"/>
    </xf>
    <xf numFmtId="0" fontId="23" fillId="21" borderId="0" xfId="0" applyFont="1" applyFill="1" applyAlignment="1">
      <alignment horizontal="left" indent="1"/>
    </xf>
    <xf numFmtId="38" fontId="23" fillId="22" borderId="0" xfId="0" applyNumberFormat="1" applyFont="1" applyFill="1" applyAlignment="1">
      <alignment horizontal="right" wrapText="1"/>
    </xf>
    <xf numFmtId="0" fontId="23" fillId="16" borderId="0" xfId="0" applyFont="1" applyFill="1" applyAlignment="1">
      <alignment horizontal="left" indent="1"/>
    </xf>
    <xf numFmtId="0" fontId="23" fillId="2" borderId="0" xfId="0" applyFont="1" applyFill="1" applyAlignment="1">
      <alignment horizontal="center" vertical="center"/>
    </xf>
    <xf numFmtId="38" fontId="23" fillId="2" borderId="0" xfId="0" applyNumberFormat="1" applyFont="1" applyFill="1" applyAlignment="1">
      <alignment horizontal="center" vertical="center" wrapText="1"/>
    </xf>
    <xf numFmtId="0" fontId="30" fillId="5" borderId="0" xfId="1" applyNumberFormat="1" applyFont="1" applyFill="1" applyBorder="1" applyAlignment="1">
      <alignment horizontal="center" vertical="center"/>
    </xf>
    <xf numFmtId="177" fontId="31" fillId="14" borderId="0" xfId="1" applyNumberFormat="1" applyFont="1" applyFill="1" applyBorder="1" applyAlignment="1">
      <alignment horizontal="center" vertical="center"/>
    </xf>
    <xf numFmtId="10" fontId="32" fillId="14" borderId="0" xfId="2" applyNumberFormat="1" applyFont="1" applyFill="1" applyBorder="1" applyAlignment="1">
      <alignment horizontal="center" vertical="center"/>
    </xf>
    <xf numFmtId="177" fontId="32" fillId="14" borderId="0" xfId="1" applyNumberFormat="1" applyFont="1" applyFill="1" applyBorder="1" applyAlignment="1">
      <alignment horizontal="center" vertical="center"/>
    </xf>
    <xf numFmtId="43" fontId="2" fillId="0" borderId="1" xfId="1" applyFont="1" applyBorder="1" applyAlignment="1">
      <alignment horizontal="center" vertical="center"/>
    </xf>
    <xf numFmtId="43" fontId="2" fillId="0" borderId="0" xfId="0" applyNumberFormat="1" applyFont="1"/>
    <xf numFmtId="4" fontId="19" fillId="14" borderId="1" xfId="0" applyNumberFormat="1" applyFont="1" applyFill="1" applyBorder="1" applyAlignment="1">
      <alignment horizontal="center" vertical="center"/>
    </xf>
    <xf numFmtId="43" fontId="20" fillId="14" borderId="1" xfId="1" applyFont="1" applyFill="1" applyBorder="1" applyAlignment="1">
      <alignment horizontal="center" vertical="center"/>
    </xf>
    <xf numFmtId="0" fontId="21" fillId="23" borderId="1" xfId="0" applyFont="1" applyFill="1" applyBorder="1" applyAlignment="1">
      <alignment vertical="center"/>
    </xf>
    <xf numFmtId="10" fontId="20" fillId="14" borderId="1" xfId="0" applyNumberFormat="1" applyFont="1" applyFill="1" applyBorder="1" applyAlignment="1">
      <alignment horizontal="center" vertical="center"/>
    </xf>
    <xf numFmtId="0" fontId="11" fillId="6" borderId="0" xfId="0" applyFont="1" applyFill="1" applyAlignment="1">
      <alignment vertical="center"/>
    </xf>
    <xf numFmtId="0" fontId="9" fillId="0" borderId="0" xfId="0" applyFont="1" applyAlignment="1">
      <alignment vertical="center"/>
    </xf>
    <xf numFmtId="0" fontId="8" fillId="7" borderId="0" xfId="4">
      <alignment vertical="center"/>
    </xf>
    <xf numFmtId="0" fontId="6" fillId="0" borderId="0" xfId="11">
      <alignment horizontal="center" vertical="center"/>
    </xf>
    <xf numFmtId="0" fontId="11" fillId="0" borderId="0" xfId="0" applyFont="1" applyAlignment="1">
      <alignment vertical="center"/>
    </xf>
    <xf numFmtId="10" fontId="9" fillId="0" borderId="0" xfId="2" applyNumberFormat="1" applyFont="1" applyAlignment="1">
      <alignment vertical="center"/>
    </xf>
    <xf numFmtId="10" fontId="9" fillId="0" borderId="0" xfId="0" applyNumberFormat="1" applyFont="1" applyAlignment="1">
      <alignment vertical="center"/>
    </xf>
    <xf numFmtId="171" fontId="9" fillId="0" borderId="0" xfId="2" applyNumberFormat="1" applyFont="1" applyAlignment="1">
      <alignment vertical="center"/>
    </xf>
    <xf numFmtId="171" fontId="9" fillId="0" borderId="0" xfId="0" applyNumberFormat="1" applyFont="1" applyAlignment="1">
      <alignment vertical="center"/>
    </xf>
    <xf numFmtId="0" fontId="20" fillId="0" borderId="0" xfId="0" applyFont="1"/>
    <xf numFmtId="0" fontId="33" fillId="0" borderId="0" xfId="15" applyAlignment="1">
      <alignment vertical="center"/>
    </xf>
    <xf numFmtId="2" fontId="19" fillId="14" borderId="1" xfId="2" applyNumberFormat="1" applyFont="1" applyFill="1" applyBorder="1" applyAlignment="1">
      <alignment horizontal="center" vertical="center"/>
    </xf>
    <xf numFmtId="164" fontId="20" fillId="16" borderId="1" xfId="1" applyNumberFormat="1" applyFont="1" applyFill="1" applyBorder="1" applyAlignment="1">
      <alignment horizontal="center" vertical="center"/>
    </xf>
    <xf numFmtId="0" fontId="19" fillId="14" borderId="1" xfId="2" applyNumberFormat="1" applyFont="1" applyFill="1" applyBorder="1" applyAlignment="1">
      <alignment horizontal="center" vertical="center"/>
    </xf>
    <xf numFmtId="0" fontId="19" fillId="15" borderId="1" xfId="0" applyFont="1" applyFill="1" applyBorder="1" applyAlignment="1">
      <alignment horizontal="left"/>
    </xf>
    <xf numFmtId="10" fontId="19" fillId="15" borderId="1" xfId="0" applyNumberFormat="1" applyFont="1" applyFill="1" applyBorder="1"/>
    <xf numFmtId="0" fontId="21" fillId="23" borderId="0" xfId="0" applyFont="1" applyFill="1" applyAlignment="1">
      <alignment horizontal="center" vertical="center"/>
    </xf>
    <xf numFmtId="0" fontId="20" fillId="12" borderId="0" xfId="0" applyFont="1" applyFill="1" applyAlignment="1">
      <alignment horizontal="center" vertical="center"/>
    </xf>
    <xf numFmtId="43" fontId="22" fillId="2" borderId="0" xfId="1" applyFont="1" applyFill="1" applyBorder="1" applyAlignment="1">
      <alignment horizontal="center" vertical="center"/>
    </xf>
    <xf numFmtId="0" fontId="22" fillId="13" borderId="0" xfId="0" applyFont="1" applyFill="1" applyAlignment="1">
      <alignment horizontal="center" vertical="center"/>
    </xf>
    <xf numFmtId="43" fontId="20" fillId="14" borderId="0" xfId="1" applyFont="1" applyFill="1" applyBorder="1" applyAlignment="1">
      <alignment horizontal="center" vertical="center"/>
    </xf>
    <xf numFmtId="10" fontId="19" fillId="14" borderId="0" xfId="2" applyNumberFormat="1" applyFont="1" applyFill="1" applyBorder="1" applyAlignment="1">
      <alignment horizontal="center" vertical="center"/>
    </xf>
    <xf numFmtId="10" fontId="19" fillId="14" borderId="0" xfId="0" applyNumberFormat="1" applyFont="1" applyFill="1" applyAlignment="1">
      <alignment horizontal="center" vertical="center"/>
    </xf>
    <xf numFmtId="164" fontId="20" fillId="14" borderId="0" xfId="1" applyNumberFormat="1" applyFont="1" applyFill="1" applyBorder="1" applyAlignment="1">
      <alignment horizontal="center" vertical="center"/>
    </xf>
    <xf numFmtId="2" fontId="19" fillId="14" borderId="0" xfId="2" applyNumberFormat="1" applyFont="1" applyFill="1" applyBorder="1" applyAlignment="1">
      <alignment horizontal="center" vertical="center"/>
    </xf>
    <xf numFmtId="0" fontId="19" fillId="14" borderId="0" xfId="0" applyFont="1" applyFill="1" applyAlignment="1">
      <alignment horizontal="center" vertical="center"/>
    </xf>
    <xf numFmtId="0" fontId="22" fillId="13" borderId="0" xfId="0" applyFont="1" applyFill="1" applyAlignment="1">
      <alignment vertical="center"/>
    </xf>
    <xf numFmtId="167" fontId="19" fillId="14" borderId="0" xfId="0" applyNumberFormat="1" applyFont="1" applyFill="1" applyAlignment="1">
      <alignment horizontal="center" vertical="center"/>
    </xf>
    <xf numFmtId="0" fontId="21" fillId="4" borderId="0" xfId="0" applyFont="1" applyFill="1" applyAlignment="1">
      <alignment vertical="center"/>
    </xf>
    <xf numFmtId="9" fontId="19" fillId="14" borderId="0" xfId="0" applyNumberFormat="1" applyFont="1" applyFill="1" applyAlignment="1">
      <alignment horizontal="center" vertical="center"/>
    </xf>
    <xf numFmtId="9" fontId="19" fillId="14" borderId="0" xfId="2" applyFont="1" applyFill="1" applyBorder="1" applyAlignment="1">
      <alignment horizontal="center" vertical="center"/>
    </xf>
    <xf numFmtId="173" fontId="19" fillId="14" borderId="0" xfId="0" applyNumberFormat="1" applyFont="1" applyFill="1" applyAlignment="1">
      <alignment horizontal="center" vertical="center"/>
    </xf>
    <xf numFmtId="9" fontId="19" fillId="0" borderId="0" xfId="2" applyFont="1" applyBorder="1" applyAlignment="1">
      <alignment horizontal="center" vertical="center"/>
    </xf>
    <xf numFmtId="164" fontId="19" fillId="14" borderId="0" xfId="2" applyNumberFormat="1" applyFont="1" applyFill="1" applyBorder="1" applyAlignment="1">
      <alignment horizontal="center" vertical="center"/>
    </xf>
    <xf numFmtId="164" fontId="19" fillId="14" borderId="0" xfId="0" applyNumberFormat="1" applyFont="1" applyFill="1" applyAlignment="1">
      <alignment horizontal="center" vertical="center"/>
    </xf>
    <xf numFmtId="43" fontId="19" fillId="14" borderId="0" xfId="1" applyFont="1" applyFill="1" applyBorder="1" applyAlignment="1">
      <alignment horizontal="center" vertical="center"/>
    </xf>
    <xf numFmtId="164" fontId="19" fillId="14" borderId="0" xfId="1" applyNumberFormat="1" applyFont="1" applyFill="1" applyBorder="1" applyAlignment="1">
      <alignment horizontal="center" vertical="center"/>
    </xf>
    <xf numFmtId="164" fontId="22" fillId="2" borderId="1" xfId="1" applyNumberFormat="1" applyFont="1" applyFill="1" applyBorder="1" applyAlignment="1">
      <alignment horizontal="center" vertical="center"/>
    </xf>
    <xf numFmtId="164" fontId="0" fillId="0" borderId="0" xfId="0" applyNumberFormat="1"/>
    <xf numFmtId="164" fontId="2" fillId="0" borderId="0" xfId="0" applyNumberFormat="1" applyFont="1"/>
    <xf numFmtId="2" fontId="0" fillId="0" borderId="0" xfId="2" applyNumberFormat="1" applyFont="1"/>
    <xf numFmtId="0" fontId="35" fillId="13" borderId="0" xfId="0" applyFont="1" applyFill="1" applyAlignment="1">
      <alignment horizontal="center" vertical="center"/>
    </xf>
    <xf numFmtId="177" fontId="34" fillId="14" borderId="0" xfId="1" applyNumberFormat="1" applyFont="1" applyFill="1" applyBorder="1" applyAlignment="1">
      <alignment horizontal="center" vertical="center"/>
    </xf>
    <xf numFmtId="178" fontId="34" fillId="14" borderId="0" xfId="1" applyNumberFormat="1" applyFont="1" applyFill="1" applyBorder="1" applyAlignment="1">
      <alignment horizontal="center" vertical="center"/>
    </xf>
    <xf numFmtId="0" fontId="22" fillId="13" borderId="17" xfId="0" applyFont="1" applyFill="1" applyBorder="1" applyAlignment="1">
      <alignment horizontal="center" vertical="center"/>
    </xf>
    <xf numFmtId="0" fontId="22" fillId="13" borderId="21" xfId="0" applyFont="1" applyFill="1" applyBorder="1" applyAlignment="1">
      <alignment horizontal="center" vertical="center"/>
    </xf>
    <xf numFmtId="0" fontId="22" fillId="13" borderId="20" xfId="0" applyFont="1" applyFill="1" applyBorder="1" applyAlignment="1">
      <alignment horizontal="center" vertical="center"/>
    </xf>
    <xf numFmtId="0" fontId="22" fillId="13" borderId="22" xfId="0" applyFont="1" applyFill="1" applyBorder="1" applyAlignment="1">
      <alignment horizontal="center" vertical="center"/>
    </xf>
    <xf numFmtId="0" fontId="17" fillId="14" borderId="13" xfId="0" applyFont="1" applyFill="1" applyBorder="1" applyAlignment="1">
      <alignment horizontal="center" vertical="center"/>
    </xf>
    <xf numFmtId="178" fontId="15" fillId="14" borderId="0" xfId="1" applyNumberFormat="1" applyFont="1" applyFill="1" applyBorder="1" applyAlignment="1">
      <alignment horizontal="center" vertical="center"/>
    </xf>
    <xf numFmtId="0" fontId="17" fillId="14" borderId="17" xfId="0" applyFont="1" applyFill="1" applyBorder="1" applyAlignment="1">
      <alignment horizontal="center" vertical="center"/>
    </xf>
    <xf numFmtId="178" fontId="15" fillId="14" borderId="21" xfId="1" applyNumberFormat="1" applyFont="1" applyFill="1" applyBorder="1" applyAlignment="1">
      <alignment horizontal="center" vertical="center"/>
    </xf>
    <xf numFmtId="177" fontId="15" fillId="14" borderId="0" xfId="1" applyNumberFormat="1" applyFont="1" applyFill="1" applyBorder="1" applyAlignment="1">
      <alignment horizontal="center" vertical="center"/>
    </xf>
    <xf numFmtId="0" fontId="18" fillId="14" borderId="17" xfId="0" applyFont="1" applyFill="1" applyBorder="1" applyAlignment="1">
      <alignment horizontal="center" vertical="center"/>
    </xf>
    <xf numFmtId="0" fontId="17" fillId="0" borderId="0" xfId="0" applyFont="1"/>
    <xf numFmtId="43" fontId="17" fillId="0" borderId="0" xfId="0" applyNumberFormat="1" applyFont="1"/>
    <xf numFmtId="10" fontId="17" fillId="0" borderId="0" xfId="0" applyNumberFormat="1" applyFont="1"/>
    <xf numFmtId="164" fontId="17" fillId="0" borderId="0" xfId="0" applyNumberFormat="1" applyFont="1"/>
    <xf numFmtId="0" fontId="17" fillId="0" borderId="0" xfId="0" applyFont="1" applyAlignment="1">
      <alignment horizontal="right"/>
    </xf>
    <xf numFmtId="0" fontId="18" fillId="14" borderId="1" xfId="0" applyFont="1" applyFill="1" applyBorder="1" applyAlignment="1">
      <alignment horizontal="center" vertical="center"/>
    </xf>
    <xf numFmtId="0" fontId="22" fillId="13" borderId="16" xfId="0" applyFont="1" applyFill="1" applyBorder="1" applyAlignment="1">
      <alignment horizontal="center" vertical="center"/>
    </xf>
    <xf numFmtId="0" fontId="22" fillId="13" borderId="19" xfId="0" applyFont="1" applyFill="1" applyBorder="1" applyAlignment="1">
      <alignment horizontal="center" vertical="center"/>
    </xf>
    <xf numFmtId="178" fontId="15" fillId="14" borderId="18" xfId="1" applyNumberFormat="1" applyFont="1" applyFill="1" applyBorder="1" applyAlignment="1">
      <alignment horizontal="center" vertical="center"/>
    </xf>
    <xf numFmtId="178" fontId="15" fillId="14" borderId="13" xfId="1" applyNumberFormat="1" applyFont="1" applyFill="1" applyBorder="1" applyAlignment="1">
      <alignment horizontal="center" vertical="center"/>
    </xf>
    <xf numFmtId="178" fontId="15" fillId="14" borderId="16" xfId="1" applyNumberFormat="1" applyFont="1" applyFill="1" applyBorder="1" applyAlignment="1">
      <alignment horizontal="center" vertical="center"/>
    </xf>
    <xf numFmtId="178" fontId="15" fillId="14" borderId="17" xfId="1" applyNumberFormat="1" applyFont="1" applyFill="1" applyBorder="1" applyAlignment="1">
      <alignment horizontal="center" vertical="center"/>
    </xf>
    <xf numFmtId="177" fontId="15" fillId="14" borderId="18" xfId="1" applyNumberFormat="1" applyFont="1" applyFill="1" applyBorder="1" applyAlignment="1">
      <alignment horizontal="center" vertical="center"/>
    </xf>
    <xf numFmtId="177" fontId="15" fillId="14" borderId="13" xfId="1" applyNumberFormat="1" applyFont="1" applyFill="1" applyBorder="1" applyAlignment="1">
      <alignment horizontal="center" vertical="center"/>
    </xf>
    <xf numFmtId="178" fontId="15" fillId="14" borderId="19" xfId="1" applyNumberFormat="1" applyFont="1" applyFill="1" applyBorder="1" applyAlignment="1">
      <alignment horizontal="center" vertical="center"/>
    </xf>
    <xf numFmtId="178" fontId="15" fillId="14" borderId="22" xfId="1" applyNumberFormat="1" applyFont="1" applyFill="1" applyBorder="1" applyAlignment="1">
      <alignment horizontal="center" vertical="center"/>
    </xf>
    <xf numFmtId="178" fontId="15" fillId="14" borderId="20" xfId="1" applyNumberFormat="1" applyFont="1" applyFill="1" applyBorder="1" applyAlignment="1">
      <alignment horizontal="center" vertical="center"/>
    </xf>
    <xf numFmtId="180" fontId="0" fillId="0" borderId="0" xfId="16" applyNumberFormat="1" applyFont="1"/>
    <xf numFmtId="2" fontId="22" fillId="13" borderId="22" xfId="0" applyNumberFormat="1" applyFont="1" applyFill="1" applyBorder="1" applyAlignment="1">
      <alignment horizontal="center" vertical="center"/>
    </xf>
    <xf numFmtId="0" fontId="18" fillId="14" borderId="15" xfId="0" applyFont="1" applyFill="1" applyBorder="1" applyAlignment="1">
      <alignment horizontal="center" vertical="center"/>
    </xf>
    <xf numFmtId="178" fontId="15" fillId="14" borderId="4" xfId="1" applyNumberFormat="1" applyFont="1" applyFill="1" applyBorder="1" applyAlignment="1">
      <alignment horizontal="center" vertical="center"/>
    </xf>
    <xf numFmtId="178" fontId="15" fillId="14" borderId="11" xfId="1" applyNumberFormat="1" applyFont="1" applyFill="1" applyBorder="1" applyAlignment="1">
      <alignment horizontal="center" vertical="center"/>
    </xf>
    <xf numFmtId="179" fontId="15" fillId="14" borderId="0" xfId="1" applyNumberFormat="1" applyFont="1" applyFill="1" applyBorder="1" applyAlignment="1">
      <alignment horizontal="center" vertical="center"/>
    </xf>
    <xf numFmtId="179" fontId="15" fillId="14" borderId="13" xfId="1" applyNumberFormat="1" applyFont="1" applyFill="1" applyBorder="1" applyAlignment="1">
      <alignment horizontal="center" vertical="center"/>
    </xf>
    <xf numFmtId="0" fontId="3" fillId="3" borderId="15" xfId="0" applyFont="1" applyFill="1" applyBorder="1" applyAlignment="1">
      <alignment horizontal="center" vertical="center"/>
    </xf>
    <xf numFmtId="165" fontId="9" fillId="0" borderId="0" xfId="17" applyFont="1">
      <alignment horizontal="right" vertical="center"/>
    </xf>
    <xf numFmtId="165" fontId="10" fillId="0" borderId="0" xfId="17">
      <alignment horizontal="right" vertical="center"/>
    </xf>
    <xf numFmtId="178" fontId="36" fillId="14" borderId="18" xfId="1" applyNumberFormat="1" applyFont="1" applyFill="1" applyBorder="1" applyAlignment="1">
      <alignment horizontal="center" vertical="center"/>
    </xf>
    <xf numFmtId="178" fontId="15" fillId="14" borderId="22" xfId="1" applyNumberFormat="1" applyFont="1" applyFill="1" applyBorder="1" applyAlignment="1">
      <alignment vertical="center"/>
    </xf>
    <xf numFmtId="178" fontId="15" fillId="14" borderId="1" xfId="1" applyNumberFormat="1" applyFont="1" applyFill="1" applyBorder="1" applyAlignment="1">
      <alignment horizontal="center" vertical="center"/>
    </xf>
    <xf numFmtId="179" fontId="15" fillId="14" borderId="1" xfId="1" applyNumberFormat="1" applyFont="1" applyFill="1" applyBorder="1" applyAlignment="1">
      <alignment horizontal="center" vertical="center"/>
    </xf>
    <xf numFmtId="167" fontId="15" fillId="14" borderId="1" xfId="2" applyNumberFormat="1" applyFont="1" applyFill="1" applyBorder="1" applyAlignment="1">
      <alignment horizontal="center" vertical="center"/>
    </xf>
    <xf numFmtId="0" fontId="0" fillId="0" borderId="23" xfId="0" applyBorder="1"/>
    <xf numFmtId="0" fontId="16" fillId="0" borderId="22" xfId="0" applyFont="1" applyBorder="1" applyAlignment="1">
      <alignment horizontal="center"/>
    </xf>
    <xf numFmtId="0" fontId="0" fillId="0" borderId="13" xfId="0" applyBorder="1"/>
    <xf numFmtId="9" fontId="19" fillId="0" borderId="0" xfId="0" applyNumberFormat="1" applyFont="1" applyAlignment="1">
      <alignment horizontal="center" vertical="center" wrapText="1"/>
    </xf>
    <xf numFmtId="179" fontId="15" fillId="14" borderId="18" xfId="1" applyNumberFormat="1" applyFont="1" applyFill="1" applyBorder="1" applyAlignment="1">
      <alignment horizontal="center" vertical="center"/>
    </xf>
    <xf numFmtId="0" fontId="2" fillId="0" borderId="1" xfId="0" applyFont="1" applyBorder="1" applyAlignment="1">
      <alignment horizontal="center" vertical="center"/>
    </xf>
    <xf numFmtId="0" fontId="21" fillId="23" borderId="10" xfId="0" applyFont="1" applyFill="1" applyBorder="1" applyAlignment="1">
      <alignment horizontal="center" vertical="center"/>
    </xf>
    <xf numFmtId="0" fontId="21" fillId="23" borderId="14" xfId="0" applyFont="1" applyFill="1" applyBorder="1" applyAlignment="1">
      <alignment horizontal="center" vertical="center"/>
    </xf>
    <xf numFmtId="0" fontId="21" fillId="23" borderId="15" xfId="0" applyFont="1" applyFill="1" applyBorder="1" applyAlignment="1">
      <alignment horizontal="center" vertical="center"/>
    </xf>
    <xf numFmtId="0" fontId="22" fillId="13" borderId="10" xfId="0" applyFont="1" applyFill="1" applyBorder="1" applyAlignment="1">
      <alignment horizontal="center" vertical="center"/>
    </xf>
    <xf numFmtId="0" fontId="22" fillId="13" borderId="14" xfId="0" applyFont="1" applyFill="1" applyBorder="1" applyAlignment="1">
      <alignment horizontal="center" vertical="center"/>
    </xf>
    <xf numFmtId="0" fontId="22" fillId="13" borderId="15" xfId="0" applyFont="1" applyFill="1" applyBorder="1" applyAlignment="1">
      <alignment horizontal="center" vertical="center"/>
    </xf>
    <xf numFmtId="43" fontId="22" fillId="2" borderId="10" xfId="1" applyFont="1" applyFill="1" applyBorder="1" applyAlignment="1">
      <alignment horizontal="center" vertical="center"/>
    </xf>
    <xf numFmtId="43" fontId="22" fillId="2" borderId="14" xfId="1" applyFont="1" applyFill="1" applyBorder="1" applyAlignment="1">
      <alignment horizontal="center" vertical="center"/>
    </xf>
    <xf numFmtId="43" fontId="22" fillId="2" borderId="15" xfId="1" applyFont="1" applyFill="1" applyBorder="1" applyAlignment="1">
      <alignment horizontal="center" vertical="center"/>
    </xf>
    <xf numFmtId="0" fontId="19" fillId="0" borderId="0" xfId="0" applyFont="1" applyAlignment="1">
      <alignment horizontal="center" vertical="center" wrapText="1"/>
    </xf>
    <xf numFmtId="0" fontId="20" fillId="13" borderId="0" xfId="0" applyFont="1" applyFill="1" applyAlignment="1">
      <alignment horizontal="center" vertical="center" wrapText="1"/>
    </xf>
    <xf numFmtId="0" fontId="20" fillId="0" borderId="10" xfId="0" applyFont="1" applyBorder="1" applyAlignment="1">
      <alignment horizontal="center" vertical="center"/>
    </xf>
    <xf numFmtId="0" fontId="20" fillId="0" borderId="15" xfId="0" applyFont="1" applyBorder="1" applyAlignment="1">
      <alignment horizontal="center" vertical="center"/>
    </xf>
    <xf numFmtId="3" fontId="19" fillId="15" borderId="16" xfId="0" applyNumberFormat="1" applyFont="1" applyFill="1" applyBorder="1" applyAlignment="1">
      <alignment horizontal="center"/>
    </xf>
    <xf numFmtId="3" fontId="19" fillId="15" borderId="17" xfId="0" applyNumberFormat="1" applyFont="1" applyFill="1" applyBorder="1" applyAlignment="1">
      <alignment horizontal="center"/>
    </xf>
    <xf numFmtId="3" fontId="19" fillId="15" borderId="18" xfId="0" applyNumberFormat="1" applyFont="1" applyFill="1" applyBorder="1" applyAlignment="1">
      <alignment horizontal="center"/>
    </xf>
    <xf numFmtId="3" fontId="19" fillId="15" borderId="13" xfId="0" applyNumberFormat="1" applyFont="1" applyFill="1" applyBorder="1" applyAlignment="1">
      <alignment horizontal="center"/>
    </xf>
    <xf numFmtId="3" fontId="19" fillId="15" borderId="19" xfId="0" applyNumberFormat="1" applyFont="1" applyFill="1" applyBorder="1" applyAlignment="1">
      <alignment horizontal="center"/>
    </xf>
    <xf numFmtId="3" fontId="19" fillId="15" borderId="20" xfId="0" applyNumberFormat="1" applyFont="1" applyFill="1" applyBorder="1" applyAlignment="1">
      <alignment horizontal="center"/>
    </xf>
    <xf numFmtId="0" fontId="34" fillId="15" borderId="16" xfId="0" applyFont="1" applyFill="1" applyBorder="1" applyAlignment="1">
      <alignment horizontal="center" vertical="center" wrapText="1"/>
    </xf>
    <xf numFmtId="0" fontId="19" fillId="15" borderId="17" xfId="0" applyFont="1" applyFill="1" applyBorder="1" applyAlignment="1">
      <alignment horizontal="center" vertical="center" wrapText="1"/>
    </xf>
    <xf numFmtId="0" fontId="19" fillId="15" borderId="18" xfId="0" applyFont="1" applyFill="1" applyBorder="1" applyAlignment="1">
      <alignment horizontal="center" vertical="center" wrapText="1"/>
    </xf>
    <xf numFmtId="0" fontId="19" fillId="15" borderId="13" xfId="0" applyFont="1" applyFill="1" applyBorder="1" applyAlignment="1">
      <alignment horizontal="center" vertical="center" wrapText="1"/>
    </xf>
    <xf numFmtId="0" fontId="19" fillId="15" borderId="19" xfId="0" applyFont="1" applyFill="1" applyBorder="1" applyAlignment="1">
      <alignment horizontal="center" vertical="center" wrapText="1"/>
    </xf>
    <xf numFmtId="0" fontId="19" fillId="15" borderId="20" xfId="0" applyFont="1" applyFill="1" applyBorder="1" applyAlignment="1">
      <alignment horizontal="center" vertical="center" wrapText="1"/>
    </xf>
    <xf numFmtId="0" fontId="19" fillId="0" borderId="13" xfId="0" applyFont="1" applyBorder="1" applyAlignment="1">
      <alignment horizontal="center" vertical="center" wrapText="1"/>
    </xf>
    <xf numFmtId="0" fontId="20" fillId="14" borderId="10" xfId="0" applyFont="1" applyFill="1" applyBorder="1" applyAlignment="1">
      <alignment horizontal="center" vertical="center"/>
    </xf>
    <xf numFmtId="0" fontId="20" fillId="14" borderId="14" xfId="0" applyFont="1" applyFill="1" applyBorder="1" applyAlignment="1">
      <alignment horizontal="center" vertical="center"/>
    </xf>
    <xf numFmtId="0" fontId="20" fillId="14" borderId="15" xfId="0" applyFont="1" applyFill="1" applyBorder="1" applyAlignment="1">
      <alignment horizontal="center" vertical="center"/>
    </xf>
    <xf numFmtId="164" fontId="20" fillId="14" borderId="10" xfId="1" applyNumberFormat="1" applyFont="1" applyFill="1" applyBorder="1" applyAlignment="1">
      <alignment horizontal="center" vertical="center"/>
    </xf>
    <xf numFmtId="164" fontId="20" fillId="14" borderId="14" xfId="1" applyNumberFormat="1" applyFont="1" applyFill="1" applyBorder="1" applyAlignment="1">
      <alignment horizontal="center" vertical="center"/>
    </xf>
    <xf numFmtId="164" fontId="20" fillId="14" borderId="15" xfId="1" applyNumberFormat="1" applyFont="1" applyFill="1" applyBorder="1" applyAlignment="1">
      <alignment horizontal="center" vertical="center"/>
    </xf>
    <xf numFmtId="2" fontId="15" fillId="14" borderId="10" xfId="2" applyNumberFormat="1" applyFont="1" applyFill="1" applyBorder="1" applyAlignment="1">
      <alignment horizontal="center" vertical="center"/>
    </xf>
    <xf numFmtId="2" fontId="15" fillId="14" borderId="14" xfId="2" applyNumberFormat="1" applyFont="1" applyFill="1" applyBorder="1" applyAlignment="1">
      <alignment horizontal="center" vertical="center"/>
    </xf>
    <xf numFmtId="2" fontId="15" fillId="14" borderId="15" xfId="2" applyNumberFormat="1" applyFont="1" applyFill="1" applyBorder="1" applyAlignment="1">
      <alignment horizontal="center" vertical="center"/>
    </xf>
    <xf numFmtId="0" fontId="17" fillId="14" borderId="9" xfId="0" applyFont="1" applyFill="1" applyBorder="1" applyAlignment="1">
      <alignment horizontal="center" vertical="center"/>
    </xf>
    <xf numFmtId="0" fontId="17" fillId="14" borderId="4" xfId="0" applyFont="1" applyFill="1" applyBorder="1" applyAlignment="1">
      <alignment horizontal="center" vertical="center"/>
    </xf>
    <xf numFmtId="0" fontId="17" fillId="14" borderId="11" xfId="0" applyFont="1" applyFill="1" applyBorder="1" applyAlignment="1">
      <alignment horizontal="center" vertical="center"/>
    </xf>
    <xf numFmtId="178" fontId="15" fillId="14" borderId="16" xfId="1" applyNumberFormat="1" applyFont="1" applyFill="1" applyBorder="1" applyAlignment="1">
      <alignment horizontal="center" vertical="center"/>
    </xf>
    <xf numFmtId="178" fontId="15" fillId="14" borderId="21" xfId="1" applyNumberFormat="1" applyFont="1" applyFill="1" applyBorder="1" applyAlignment="1">
      <alignment horizontal="center" vertical="center"/>
    </xf>
    <xf numFmtId="178" fontId="15" fillId="14" borderId="17" xfId="1" applyNumberFormat="1" applyFont="1" applyFill="1" applyBorder="1" applyAlignment="1">
      <alignment horizontal="center" vertical="center"/>
    </xf>
    <xf numFmtId="0" fontId="22" fillId="13" borderId="17" xfId="0" applyFont="1" applyFill="1" applyBorder="1" applyAlignment="1">
      <alignment horizontal="center" vertical="center"/>
    </xf>
    <xf numFmtId="0" fontId="22" fillId="13" borderId="20" xfId="0" applyFont="1" applyFill="1" applyBorder="1" applyAlignment="1">
      <alignment horizontal="center" vertical="center"/>
    </xf>
    <xf numFmtId="10" fontId="15" fillId="14" borderId="10" xfId="2" applyNumberFormat="1" applyFont="1" applyFill="1" applyBorder="1" applyAlignment="1">
      <alignment horizontal="center" vertical="center"/>
    </xf>
    <xf numFmtId="10" fontId="15" fillId="14" borderId="14" xfId="2" applyNumberFormat="1" applyFont="1" applyFill="1" applyBorder="1" applyAlignment="1">
      <alignment horizontal="center" vertical="center"/>
    </xf>
    <xf numFmtId="10" fontId="15" fillId="14" borderId="15" xfId="2" applyNumberFormat="1" applyFont="1" applyFill="1" applyBorder="1" applyAlignment="1">
      <alignment horizontal="center" vertical="center"/>
    </xf>
    <xf numFmtId="0" fontId="22" fillId="13" borderId="9" xfId="0" applyFont="1" applyFill="1" applyBorder="1" applyAlignment="1">
      <alignment horizontal="center" vertical="center"/>
    </xf>
    <xf numFmtId="0" fontId="22" fillId="13" borderId="11" xfId="0" applyFont="1" applyFill="1" applyBorder="1" applyAlignment="1">
      <alignment horizontal="center" vertical="center"/>
    </xf>
    <xf numFmtId="178" fontId="36" fillId="14" borderId="19" xfId="1" applyNumberFormat="1" applyFont="1" applyFill="1" applyBorder="1" applyAlignment="1">
      <alignment horizontal="center" vertical="center"/>
    </xf>
    <xf numFmtId="178" fontId="36" fillId="14" borderId="20" xfId="1" applyNumberFormat="1" applyFont="1" applyFill="1" applyBorder="1" applyAlignment="1">
      <alignment horizontal="center" vertical="center"/>
    </xf>
    <xf numFmtId="0" fontId="20" fillId="0" borderId="1" xfId="0" applyFont="1" applyBorder="1" applyAlignment="1">
      <alignment horizontal="center" vertical="center"/>
    </xf>
    <xf numFmtId="0" fontId="19" fillId="0" borderId="1" xfId="0" applyFont="1" applyBorder="1" applyAlignment="1">
      <alignment horizontal="center" vertical="center"/>
    </xf>
    <xf numFmtId="178" fontId="15" fillId="14" borderId="1" xfId="1" applyNumberFormat="1" applyFont="1" applyFill="1" applyBorder="1" applyAlignment="1">
      <alignment horizontal="center" vertical="center"/>
    </xf>
    <xf numFmtId="0" fontId="22" fillId="13" borderId="16" xfId="0" applyFont="1" applyFill="1" applyBorder="1" applyAlignment="1">
      <alignment horizontal="center" vertical="center"/>
    </xf>
    <xf numFmtId="0" fontId="22" fillId="13" borderId="21" xfId="0" applyFont="1" applyFill="1" applyBorder="1" applyAlignment="1">
      <alignment horizontal="center" vertical="center"/>
    </xf>
    <xf numFmtId="0" fontId="5" fillId="0" borderId="0" xfId="0" applyFont="1" applyAlignment="1">
      <alignment horizontal="center" vertical="center" wrapText="1"/>
    </xf>
    <xf numFmtId="0" fontId="6" fillId="0" borderId="0" xfId="10" applyAlignment="1">
      <alignment horizontal="center" vertical="center"/>
    </xf>
    <xf numFmtId="177" fontId="29" fillId="12" borderId="0" xfId="1" applyNumberFormat="1" applyFont="1" applyFill="1" applyBorder="1" applyAlignment="1">
      <alignment horizontal="center" vertical="center"/>
    </xf>
    <xf numFmtId="177" fontId="28" fillId="12" borderId="0" xfId="1" applyNumberFormat="1" applyFont="1" applyFill="1" applyBorder="1" applyAlignment="1">
      <alignment horizontal="center" vertical="center"/>
    </xf>
    <xf numFmtId="0" fontId="22" fillId="13" borderId="1" xfId="0" applyFont="1" applyFill="1" applyBorder="1" applyAlignment="1">
      <alignment horizontal="center" vertical="center"/>
    </xf>
    <xf numFmtId="10" fontId="29" fillId="12" borderId="0" xfId="2" applyNumberFormat="1" applyFont="1" applyFill="1" applyBorder="1" applyAlignment="1">
      <alignment horizontal="center" vertical="center"/>
    </xf>
    <xf numFmtId="0" fontId="21" fillId="4" borderId="1" xfId="0" applyFont="1" applyFill="1" applyBorder="1" applyAlignment="1">
      <alignment horizontal="center" vertical="center"/>
    </xf>
    <xf numFmtId="0" fontId="4" fillId="10" borderId="1" xfId="0" applyFont="1" applyFill="1" applyBorder="1" applyAlignment="1">
      <alignment horizontal="center" vertical="center" wrapText="1"/>
    </xf>
    <xf numFmtId="0" fontId="5" fillId="11" borderId="1" xfId="0" applyFont="1" applyFill="1" applyBorder="1" applyAlignment="1">
      <alignment horizontal="center"/>
    </xf>
    <xf numFmtId="0" fontId="0" fillId="0" borderId="0" xfId="0" applyAlignment="1">
      <alignment horizontal="center"/>
    </xf>
  </cellXfs>
  <cellStyles count="18">
    <cellStyle name="Comma" xfId="1" builtinId="3"/>
    <cellStyle name="Currency" xfId="16" builtinId="4"/>
    <cellStyle name="DescriptorColumnStyle" xfId="10" xr:uid="{8B1CB7B6-ECBB-4B25-8EBA-3ADDB7983FB8}"/>
    <cellStyle name="HeaderStyle" xfId="4" xr:uid="{FF4FB313-9F85-407E-A46B-744AA2713122}"/>
    <cellStyle name="Hyperlink" xfId="15" builtinId="8"/>
    <cellStyle name="HyphenStyle" xfId="11" xr:uid="{DA6A0B7D-EB34-478A-9EA9-7D86B6E46687}"/>
    <cellStyle name="NanStyle" xfId="8" xr:uid="{70082D82-ED4B-4C1F-8E9B-036D82236BDA}"/>
    <cellStyle name="Normal" xfId="0" builtinId="0"/>
    <cellStyle name="Normal 2" xfId="3" xr:uid="{77270C75-93EA-4462-B9D4-0F3EC1786E1F}"/>
    <cellStyle name="Normal 3" xfId="12" xr:uid="{D48B032C-0D42-4DC6-937B-45B3E611BE23}"/>
    <cellStyle name="Normal 4" xfId="13" xr:uid="{C39C4E33-8A1A-4447-892B-A9907DCE1873}"/>
    <cellStyle name="NumberForecastStyle" xfId="7" xr:uid="{8A8813C3-2938-4F6F-A3CF-EDB03AA389C4}"/>
    <cellStyle name="NumberStyle" xfId="5" xr:uid="{8385A196-F08B-468F-8974-98953D962CAD}"/>
    <cellStyle name="NumberStyle 2" xfId="14" xr:uid="{0CA6446D-70A7-4EF6-BF32-7E9A61A5ACA7}"/>
    <cellStyle name="NumberStyle 3" xfId="17" xr:uid="{56E9EF75-1C67-4E96-821E-2C715C52274C}"/>
    <cellStyle name="Percent" xfId="2" builtinId="5"/>
    <cellStyle name="RankingStyle" xfId="6" xr:uid="{041825A7-36C2-4FA5-969B-9FBE36E21A15}"/>
    <cellStyle name="SolidBackgroundStyle" xfId="9" xr:uid="{AF11219D-3250-4317-AA3D-0460C1EC5397}"/>
  </cellStyles>
  <dxfs count="20">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tyles" Target="styles.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[1]FCFE!$A$3</c:f>
              <c:strCache>
                <c:ptCount val="1"/>
                <c:pt idx="0">
                  <c:v>Total revenue</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[1]FCFE!$B$2:$K$2</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[1]FCFE!$B$3:$K$3</c:f>
              <c:numCache>
                <c:formatCode>General</c:formatCode>
                <c:ptCount val="10"/>
                <c:pt idx="0">
                  <c:v>52561.95</c:v>
                </c:pt>
                <c:pt idx="1">
                  <c:v>56318.123</c:v>
                </c:pt>
                <c:pt idx="2">
                  <c:v>59636.286</c:v>
                </c:pt>
                <c:pt idx="3">
                  <c:v>60919.165000000001</c:v>
                </c:pt>
                <c:pt idx="4">
                  <c:v>59956.247000000003</c:v>
                </c:pt>
                <c:pt idx="5">
                  <c:v>60528.348398094349</c:v>
                </c:pt>
                <c:pt idx="6">
                  <c:v>61223.42902614129</c:v>
                </c:pt>
                <c:pt idx="7">
                  <c:v>62003.395290794142</c:v>
                </c:pt>
                <c:pt idx="8">
                  <c:v>62869.367433309628</c:v>
                </c:pt>
                <c:pt idx="9">
                  <c:v>63823.005015414266</c:v>
                </c:pt>
              </c:numCache>
            </c:numRef>
          </c:val>
          <c:extLst>
            <c:ext xmlns:c16="http://schemas.microsoft.com/office/drawing/2014/chart" uri="{C3380CC4-5D6E-409C-BE32-E72D297353CC}">
              <c16:uniqueId val="{00000000-2BA8-4CCD-AB03-FBBD5B6454FE}"/>
            </c:ext>
          </c:extLst>
        </c:ser>
        <c:dLbls>
          <c:showLegendKey val="0"/>
          <c:showVal val="0"/>
          <c:showCatName val="0"/>
          <c:showSerName val="0"/>
          <c:showPercent val="0"/>
          <c:showBubbleSize val="0"/>
        </c:dLbls>
        <c:gapWidth val="100"/>
        <c:overlap val="-24"/>
        <c:axId val="759337376"/>
        <c:axId val="464356272"/>
      </c:barChart>
      <c:catAx>
        <c:axId val="759337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4356272"/>
        <c:crosses val="autoZero"/>
        <c:auto val="1"/>
        <c:lblAlgn val="ctr"/>
        <c:lblOffset val="100"/>
        <c:noMultiLvlLbl val="0"/>
      </c:catAx>
      <c:valAx>
        <c:axId val="46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93373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[1]FCFE!$V$33</c:f>
              <c:strCache>
                <c:ptCount val="1"/>
                <c:pt idx="0">
                  <c:v>Sua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[1]FCFE!$W$32:$AB$32</c:f>
              <c:strCache>
                <c:ptCount val="6"/>
                <c:pt idx="0">
                  <c:v>2018</c:v>
                </c:pt>
                <c:pt idx="1">
                  <c:v>2019</c:v>
                </c:pt>
                <c:pt idx="2">
                  <c:v>2020</c:v>
                </c:pt>
                <c:pt idx="3">
                  <c:v>2021</c:v>
                </c:pt>
                <c:pt idx="4">
                  <c:v>2022</c:v>
                </c:pt>
                <c:pt idx="5">
                  <c:v>2023F</c:v>
                </c:pt>
              </c:strCache>
            </c:strRef>
          </c:cat>
          <c:val>
            <c:numRef>
              <c:f>[1]FCFE!$W$33:$AB$33</c:f>
              <c:numCache>
                <c:formatCode>General</c:formatCode>
                <c:ptCount val="6"/>
                <c:pt idx="0">
                  <c:v>31</c:v>
                </c:pt>
                <c:pt idx="1">
                  <c:v>32</c:v>
                </c:pt>
                <c:pt idx="2">
                  <c:v>34</c:v>
                </c:pt>
                <c:pt idx="3">
                  <c:v>37</c:v>
                </c:pt>
                <c:pt idx="4">
                  <c:v>39</c:v>
                </c:pt>
                <c:pt idx="5">
                  <c:v>42</c:v>
                </c:pt>
              </c:numCache>
            </c:numRef>
          </c:val>
          <c:extLst>
            <c:ext xmlns:c16="http://schemas.microsoft.com/office/drawing/2014/chart" uri="{C3380CC4-5D6E-409C-BE32-E72D297353CC}">
              <c16:uniqueId val="{00000000-45DE-445C-A1CE-EEDCABD3F88D}"/>
            </c:ext>
          </c:extLst>
        </c:ser>
        <c:dLbls>
          <c:showLegendKey val="0"/>
          <c:showVal val="0"/>
          <c:showCatName val="0"/>
          <c:showSerName val="0"/>
          <c:showPercent val="0"/>
          <c:showBubbleSize val="0"/>
        </c:dLbls>
        <c:gapWidth val="100"/>
        <c:overlap val="-24"/>
        <c:axId val="247222167"/>
        <c:axId val="247211727"/>
      </c:barChart>
      <c:catAx>
        <c:axId val="247222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11727"/>
        <c:crosses val="autoZero"/>
        <c:auto val="1"/>
        <c:lblAlgn val="ctr"/>
        <c:lblOffset val="100"/>
        <c:noMultiLvlLbl val="0"/>
      </c:catAx>
      <c:valAx>
        <c:axId val="247211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22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b="1"/>
              <a:t>Products Volume Forecasting of Philippines' MKD</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'FINAL NPV, IRR, Payback'!$E$32</c:f>
              <c:strCache>
                <c:ptCount val="1"/>
                <c:pt idx="0">
                  <c:v>2025</c:v>
                </c:pt>
              </c:strCache>
            </c:strRef>
          </c:tx>
          <c:spPr>
            <a:solidFill>
              <a:schemeClr val="accent1"/>
            </a:solidFill>
            <a:ln>
              <a:noFill/>
            </a:ln>
            <a:effectLst/>
          </c:spPr>
          <c:invertIfNegative val="0"/>
          <c:cat>
            <c:strRef>
              <c:f>'FINAL NPV, IRR, Payback'!$D$33:$D$36</c:f>
              <c:strCache>
                <c:ptCount val="4"/>
                <c:pt idx="0">
                  <c:v> Mooncake </c:v>
                </c:pt>
                <c:pt idx="1">
                  <c:v> Solite Cake </c:v>
                </c:pt>
                <c:pt idx="2">
                  <c:v> Cosy Biscuit </c:v>
                </c:pt>
                <c:pt idx="3">
                  <c:v> AFC Crackers </c:v>
                </c:pt>
              </c:strCache>
            </c:strRef>
          </c:cat>
          <c:val>
            <c:numRef>
              <c:f>'FINAL NPV, IRR, Payback'!$E$33:$E$36</c:f>
              <c:numCache>
                <c:formatCode>_(\ #,##0_);_(\ \(#,##0\);_(\ "-"??_);_(@_)</c:formatCode>
                <c:ptCount val="4"/>
                <c:pt idx="0">
                  <c:v>402000</c:v>
                </c:pt>
                <c:pt idx="1">
                  <c:v>1619000</c:v>
                </c:pt>
                <c:pt idx="2">
                  <c:v>3718000</c:v>
                </c:pt>
                <c:pt idx="3">
                  <c:v>1133000</c:v>
                </c:pt>
              </c:numCache>
            </c:numRef>
          </c:val>
          <c:extLst>
            <c:ext xmlns:c16="http://schemas.microsoft.com/office/drawing/2014/chart" uri="{C3380CC4-5D6E-409C-BE32-E72D297353CC}">
              <c16:uniqueId val="{00000000-60F5-46AF-AF22-506B368ADF65}"/>
            </c:ext>
          </c:extLst>
        </c:ser>
        <c:ser>
          <c:idx val="1"/>
          <c:order val="1"/>
          <c:tx>
            <c:strRef>
              <c:f>'FINAL NPV, IRR, Payback'!$F$32</c:f>
              <c:strCache>
                <c:ptCount val="1"/>
                <c:pt idx="0">
                  <c:v>2026</c:v>
                </c:pt>
              </c:strCache>
            </c:strRef>
          </c:tx>
          <c:spPr>
            <a:solidFill>
              <a:schemeClr val="accent2"/>
            </a:solidFill>
            <a:ln>
              <a:noFill/>
            </a:ln>
            <a:effectLst/>
          </c:spPr>
          <c:invertIfNegative val="0"/>
          <c:cat>
            <c:strRef>
              <c:f>'FINAL NPV, IRR, Payback'!$D$33:$D$36</c:f>
              <c:strCache>
                <c:ptCount val="4"/>
                <c:pt idx="0">
                  <c:v> Mooncake </c:v>
                </c:pt>
                <c:pt idx="1">
                  <c:v> Solite Cake </c:v>
                </c:pt>
                <c:pt idx="2">
                  <c:v> Cosy Biscuit </c:v>
                </c:pt>
                <c:pt idx="3">
                  <c:v> AFC Crackers </c:v>
                </c:pt>
              </c:strCache>
            </c:strRef>
          </c:cat>
          <c:val>
            <c:numRef>
              <c:f>'FINAL NPV, IRR, Payback'!$F$33:$F$36</c:f>
              <c:numCache>
                <c:formatCode>_(\ #,##0_);_(\ \(#,##0\);_(\ "-"??_);_(@_)</c:formatCode>
                <c:ptCount val="4"/>
                <c:pt idx="0">
                  <c:v>418435.6079608858</c:v>
                </c:pt>
                <c:pt idx="1">
                  <c:v>1704915.2356958711</c:v>
                </c:pt>
                <c:pt idx="2">
                  <c:v>3759425.7699459959</c:v>
                </c:pt>
                <c:pt idx="3">
                  <c:v>1177571.6184087007</c:v>
                </c:pt>
              </c:numCache>
            </c:numRef>
          </c:val>
          <c:extLst>
            <c:ext xmlns:c16="http://schemas.microsoft.com/office/drawing/2014/chart" uri="{C3380CC4-5D6E-409C-BE32-E72D297353CC}">
              <c16:uniqueId val="{00000001-60F5-46AF-AF22-506B368ADF65}"/>
            </c:ext>
          </c:extLst>
        </c:ser>
        <c:ser>
          <c:idx val="2"/>
          <c:order val="2"/>
          <c:tx>
            <c:strRef>
              <c:f>'FINAL NPV, IRR, Payback'!$G$32</c:f>
              <c:strCache>
                <c:ptCount val="1"/>
                <c:pt idx="0">
                  <c:v>2027</c:v>
                </c:pt>
              </c:strCache>
            </c:strRef>
          </c:tx>
          <c:spPr>
            <a:solidFill>
              <a:schemeClr val="accent3"/>
            </a:solidFill>
            <a:ln>
              <a:noFill/>
            </a:ln>
            <a:effectLst/>
          </c:spPr>
          <c:invertIfNegative val="0"/>
          <c:cat>
            <c:strRef>
              <c:f>'FINAL NPV, IRR, Payback'!$D$33:$D$36</c:f>
              <c:strCache>
                <c:ptCount val="4"/>
                <c:pt idx="0">
                  <c:v> Mooncake </c:v>
                </c:pt>
                <c:pt idx="1">
                  <c:v> Solite Cake </c:v>
                </c:pt>
                <c:pt idx="2">
                  <c:v> Cosy Biscuit </c:v>
                </c:pt>
                <c:pt idx="3">
                  <c:v> AFC Crackers </c:v>
                </c:pt>
              </c:strCache>
            </c:strRef>
          </c:cat>
          <c:val>
            <c:numRef>
              <c:f>'FINAL NPV, IRR, Payback'!$G$33:$G$36</c:f>
              <c:numCache>
                <c:formatCode>_(\ #,##0_);_(\ \(#,##0\);_(\ "-"??_);_(@_)</c:formatCode>
                <c:ptCount val="4"/>
                <c:pt idx="0">
                  <c:v>438210.88838744041</c:v>
                </c:pt>
                <c:pt idx="1">
                  <c:v>1791438.2926412192</c:v>
                </c:pt>
                <c:pt idx="2">
                  <c:v>3805499.6211325307</c:v>
                </c:pt>
                <c:pt idx="3">
                  <c:v>1231542.9371546488</c:v>
                </c:pt>
              </c:numCache>
            </c:numRef>
          </c:val>
          <c:extLst>
            <c:ext xmlns:c16="http://schemas.microsoft.com/office/drawing/2014/chart" uri="{C3380CC4-5D6E-409C-BE32-E72D297353CC}">
              <c16:uniqueId val="{00000002-60F5-46AF-AF22-506B368ADF65}"/>
            </c:ext>
          </c:extLst>
        </c:ser>
        <c:ser>
          <c:idx val="3"/>
          <c:order val="3"/>
          <c:tx>
            <c:strRef>
              <c:f>'FINAL NPV, IRR, Payback'!$H$32</c:f>
              <c:strCache>
                <c:ptCount val="1"/>
                <c:pt idx="0">
                  <c:v>2028</c:v>
                </c:pt>
              </c:strCache>
            </c:strRef>
          </c:tx>
          <c:spPr>
            <a:solidFill>
              <a:schemeClr val="accent4"/>
            </a:solidFill>
            <a:ln>
              <a:noFill/>
            </a:ln>
            <a:effectLst/>
          </c:spPr>
          <c:invertIfNegative val="0"/>
          <c:cat>
            <c:strRef>
              <c:f>'FINAL NPV, IRR, Payback'!$D$33:$D$36</c:f>
              <c:strCache>
                <c:ptCount val="4"/>
                <c:pt idx="0">
                  <c:v> Mooncake </c:v>
                </c:pt>
                <c:pt idx="1">
                  <c:v> Solite Cake </c:v>
                </c:pt>
                <c:pt idx="2">
                  <c:v> Cosy Biscuit </c:v>
                </c:pt>
                <c:pt idx="3">
                  <c:v> AFC Crackers </c:v>
                </c:pt>
              </c:strCache>
            </c:strRef>
          </c:cat>
          <c:val>
            <c:numRef>
              <c:f>'FINAL NPV, IRR, Payback'!$H$33:$H$36</c:f>
              <c:numCache>
                <c:formatCode>_(\ #,##0_);_(\ \(#,##0\);_(\ "-"??_);_(@_)</c:formatCode>
                <c:ptCount val="4"/>
                <c:pt idx="0">
                  <c:v>462359.79535076686</c:v>
                </c:pt>
                <c:pt idx="1">
                  <c:v>1705048.9757592878</c:v>
                </c:pt>
                <c:pt idx="2">
                  <c:v>3856551.2106568674</c:v>
                </c:pt>
                <c:pt idx="3">
                  <c:v>1296697.0991489172</c:v>
                </c:pt>
              </c:numCache>
            </c:numRef>
          </c:val>
          <c:extLst>
            <c:ext xmlns:c16="http://schemas.microsoft.com/office/drawing/2014/chart" uri="{C3380CC4-5D6E-409C-BE32-E72D297353CC}">
              <c16:uniqueId val="{00000003-60F5-46AF-AF22-506B368ADF65}"/>
            </c:ext>
          </c:extLst>
        </c:ser>
        <c:ser>
          <c:idx val="4"/>
          <c:order val="4"/>
          <c:tx>
            <c:strRef>
              <c:f>'FINAL NPV, IRR, Payback'!$I$32</c:f>
              <c:strCache>
                <c:ptCount val="1"/>
                <c:pt idx="0">
                  <c:v>2029</c:v>
                </c:pt>
              </c:strCache>
            </c:strRef>
          </c:tx>
          <c:spPr>
            <a:solidFill>
              <a:schemeClr val="accent5"/>
            </a:solidFill>
            <a:ln>
              <a:noFill/>
            </a:ln>
            <a:effectLst/>
          </c:spPr>
          <c:invertIfNegative val="0"/>
          <c:cat>
            <c:strRef>
              <c:f>'FINAL NPV, IRR, Payback'!$D$33:$D$36</c:f>
              <c:strCache>
                <c:ptCount val="4"/>
                <c:pt idx="0">
                  <c:v> Mooncake </c:v>
                </c:pt>
                <c:pt idx="1">
                  <c:v> Solite Cake </c:v>
                </c:pt>
                <c:pt idx="2">
                  <c:v> Cosy Biscuit </c:v>
                </c:pt>
                <c:pt idx="3">
                  <c:v> AFC Crackers </c:v>
                </c:pt>
              </c:strCache>
            </c:strRef>
          </c:cat>
          <c:val>
            <c:numRef>
              <c:f>'FINAL NPV, IRR, Payback'!$I$33:$I$36</c:f>
              <c:numCache>
                <c:formatCode>_(\ #,##0_);_(\ \(#,##0\);_(\ "-"??_);_(@_)</c:formatCode>
                <c:ptCount val="4"/>
                <c:pt idx="0">
                  <c:v>492668.89615189889</c:v>
                </c:pt>
                <c:pt idx="1">
                  <c:v>1627535.7920900953</c:v>
                </c:pt>
                <c:pt idx="2">
                  <c:v>3912944.896142656</c:v>
                </c:pt>
                <c:pt idx="3">
                  <c:v>1375285.1470040227</c:v>
                </c:pt>
              </c:numCache>
            </c:numRef>
          </c:val>
          <c:extLst>
            <c:ext xmlns:c16="http://schemas.microsoft.com/office/drawing/2014/chart" uri="{C3380CC4-5D6E-409C-BE32-E72D297353CC}">
              <c16:uniqueId val="{00000004-60F5-46AF-AF22-506B368ADF65}"/>
            </c:ext>
          </c:extLst>
        </c:ser>
        <c:ser>
          <c:idx val="5"/>
          <c:order val="5"/>
          <c:tx>
            <c:strRef>
              <c:f>'FINAL NPV, IRR, Payback'!$J$32</c:f>
              <c:strCache>
                <c:ptCount val="1"/>
                <c:pt idx="0">
                  <c:v>2030</c:v>
                </c:pt>
              </c:strCache>
            </c:strRef>
          </c:tx>
          <c:spPr>
            <a:solidFill>
              <a:schemeClr val="accent6"/>
            </a:solidFill>
            <a:ln>
              <a:noFill/>
            </a:ln>
            <a:effectLst/>
          </c:spPr>
          <c:invertIfNegative val="0"/>
          <c:cat>
            <c:strRef>
              <c:f>'FINAL NPV, IRR, Payback'!$D$33:$D$36</c:f>
              <c:strCache>
                <c:ptCount val="4"/>
                <c:pt idx="0">
                  <c:v> Mooncake </c:v>
                </c:pt>
                <c:pt idx="1">
                  <c:v> Solite Cake </c:v>
                </c:pt>
                <c:pt idx="2">
                  <c:v> Cosy Biscuit </c:v>
                </c:pt>
                <c:pt idx="3">
                  <c:v> AFC Crackers </c:v>
                </c:pt>
              </c:strCache>
            </c:strRef>
          </c:cat>
          <c:val>
            <c:numRef>
              <c:f>'FINAL NPV, IRR, Payback'!$J$33:$J$36</c:f>
              <c:numCache>
                <c:formatCode>_(\ #,##0_);_(\ \(#,##0\);_(\ "-"??_);_(@_)</c:formatCode>
                <c:ptCount val="4"/>
                <c:pt idx="0">
                  <c:v>531938.67084170762</c:v>
                </c:pt>
                <c:pt idx="1">
                  <c:v>1558482.7847850258</c:v>
                </c:pt>
                <c:pt idx="2">
                  <c:v>3975083.9592435542</c:v>
                </c:pt>
                <c:pt idx="3">
                  <c:v>1470172.0444348566</c:v>
                </c:pt>
              </c:numCache>
            </c:numRef>
          </c:val>
          <c:extLst>
            <c:ext xmlns:c16="http://schemas.microsoft.com/office/drawing/2014/chart" uri="{C3380CC4-5D6E-409C-BE32-E72D297353CC}">
              <c16:uniqueId val="{00000005-60F5-46AF-AF22-506B368ADF65}"/>
            </c:ext>
          </c:extLst>
        </c:ser>
        <c:ser>
          <c:idx val="6"/>
          <c:order val="6"/>
          <c:tx>
            <c:strRef>
              <c:f>'FINAL NPV, IRR, Payback'!$K$32</c:f>
              <c:strCache>
                <c:ptCount val="1"/>
                <c:pt idx="0">
                  <c:v>2031</c:v>
                </c:pt>
              </c:strCache>
            </c:strRef>
          </c:tx>
          <c:spPr>
            <a:solidFill>
              <a:schemeClr val="accent1">
                <a:lumMod val="60000"/>
              </a:schemeClr>
            </a:solidFill>
            <a:ln>
              <a:noFill/>
            </a:ln>
            <a:effectLst/>
          </c:spPr>
          <c:invertIfNegative val="0"/>
          <c:cat>
            <c:strRef>
              <c:f>'FINAL NPV, IRR, Payback'!$D$33:$D$36</c:f>
              <c:strCache>
                <c:ptCount val="4"/>
                <c:pt idx="0">
                  <c:v> Mooncake </c:v>
                </c:pt>
                <c:pt idx="1">
                  <c:v> Solite Cake </c:v>
                </c:pt>
                <c:pt idx="2">
                  <c:v> Cosy Biscuit </c:v>
                </c:pt>
                <c:pt idx="3">
                  <c:v> AFC Crackers </c:v>
                </c:pt>
              </c:strCache>
            </c:strRef>
          </c:cat>
          <c:val>
            <c:numRef>
              <c:f>'FINAL NPV, IRR, Payback'!$K$33:$K$36</c:f>
              <c:numCache>
                <c:formatCode>_(\ #,##0_);_(\ \(#,##0\);_(\ "-"??_);_(@_)</c:formatCode>
                <c:ptCount val="4"/>
                <c:pt idx="0">
                  <c:v>584850.16637756722</c:v>
                </c:pt>
                <c:pt idx="1">
                  <c:v>1497571.1540881163</c:v>
                </c:pt>
                <c:pt idx="2">
                  <c:v>4043415.4254905563</c:v>
                </c:pt>
                <c:pt idx="3">
                  <c:v>1585036.1289905501</c:v>
                </c:pt>
              </c:numCache>
            </c:numRef>
          </c:val>
          <c:extLst>
            <c:ext xmlns:c16="http://schemas.microsoft.com/office/drawing/2014/chart" uri="{C3380CC4-5D6E-409C-BE32-E72D297353CC}">
              <c16:uniqueId val="{00000006-60F5-46AF-AF22-506B368ADF65}"/>
            </c:ext>
          </c:extLst>
        </c:ser>
        <c:dLbls>
          <c:showLegendKey val="0"/>
          <c:showVal val="0"/>
          <c:showCatName val="0"/>
          <c:showSerName val="0"/>
          <c:showPercent val="0"/>
          <c:showBubbleSize val="0"/>
        </c:dLbls>
        <c:gapWidth val="219"/>
        <c:overlap val="-27"/>
        <c:axId val="828477599"/>
        <c:axId val="828474719"/>
      </c:barChart>
      <c:catAx>
        <c:axId val="828477599"/>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28474719"/>
        <c:crosses val="autoZero"/>
        <c:auto val="1"/>
        <c:lblAlgn val="ctr"/>
        <c:lblOffset val="100"/>
        <c:noMultiLvlLbl val="0"/>
      </c:catAx>
      <c:valAx>
        <c:axId val="828474719"/>
        <c:scaling>
          <c:orientation val="minMax"/>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2847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15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sz="1150" b="1" i="0" u="none" strike="noStrike" kern="1200" spc="0" baseline="0">
                <a:solidFill>
                  <a:sysClr val="windowText" lastClr="000000"/>
                </a:solidFill>
                <a:latin typeface="Times New Roman" panose="02020603050405020304" pitchFamily="18" charset="0"/>
                <a:cs typeface="Times New Roman" panose="02020603050405020304" pitchFamily="18" charset="0"/>
              </a:rPr>
              <a:t>Products Price Forecasting of Philippines' MKD (PHP)</a:t>
            </a:r>
            <a:endParaRPr lang="en-US" sz="1150" b="1" i="0" u="none" strike="noStrike" kern="1200" spc="0" baseline="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lang="en-US" sz="115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'FINAL NPV, IRR, Payback'!$E$37</c:f>
              <c:strCache>
                <c:ptCount val="1"/>
                <c:pt idx="0">
                  <c:v>2025</c:v>
                </c:pt>
              </c:strCache>
            </c:strRef>
          </c:tx>
          <c:spPr>
            <a:solidFill>
              <a:schemeClr val="accent1"/>
            </a:solidFill>
            <a:ln>
              <a:noFill/>
            </a:ln>
            <a:effectLst/>
          </c:spPr>
          <c:invertIfNegative val="0"/>
          <c:cat>
            <c:strRef>
              <c:f>'FINAL NPV, IRR, Payback'!$D$38:$D$41</c:f>
              <c:strCache>
                <c:ptCount val="4"/>
                <c:pt idx="0">
                  <c:v> Mooncake </c:v>
                </c:pt>
                <c:pt idx="1">
                  <c:v> Solite Cake </c:v>
                </c:pt>
                <c:pt idx="2">
                  <c:v> Cosy Biscuit </c:v>
                </c:pt>
                <c:pt idx="3">
                  <c:v> AFC Crackers </c:v>
                </c:pt>
              </c:strCache>
            </c:strRef>
          </c:cat>
          <c:val>
            <c:numRef>
              <c:f>'FINAL NPV, IRR, Payback'!$E$38:$E$41</c:f>
              <c:numCache>
                <c:formatCode>_(\ #,##0_);_(\ \(#,##0\);_(\ "-"??_);_(@_)</c:formatCode>
                <c:ptCount val="4"/>
                <c:pt idx="0">
                  <c:v>640.0737777777772</c:v>
                </c:pt>
                <c:pt idx="1">
                  <c:v>280.03227777777755</c:v>
                </c:pt>
                <c:pt idx="2">
                  <c:v>268.6023888888887</c:v>
                </c:pt>
                <c:pt idx="3">
                  <c:v>302.89205555555532</c:v>
                </c:pt>
              </c:numCache>
            </c:numRef>
          </c:val>
          <c:extLst>
            <c:ext xmlns:c16="http://schemas.microsoft.com/office/drawing/2014/chart" uri="{C3380CC4-5D6E-409C-BE32-E72D297353CC}">
              <c16:uniqueId val="{00000000-257E-4FB5-B527-BC5169C4B87C}"/>
            </c:ext>
          </c:extLst>
        </c:ser>
        <c:ser>
          <c:idx val="1"/>
          <c:order val="1"/>
          <c:tx>
            <c:strRef>
              <c:f>'FINAL NPV, IRR, Payback'!$F$37</c:f>
              <c:strCache>
                <c:ptCount val="1"/>
                <c:pt idx="0">
                  <c:v>2026</c:v>
                </c:pt>
              </c:strCache>
            </c:strRef>
          </c:tx>
          <c:spPr>
            <a:solidFill>
              <a:schemeClr val="accent2"/>
            </a:solidFill>
            <a:ln>
              <a:noFill/>
            </a:ln>
            <a:effectLst/>
          </c:spPr>
          <c:invertIfNegative val="0"/>
          <c:cat>
            <c:strRef>
              <c:f>'FINAL NPV, IRR, Payback'!$D$38:$D$41</c:f>
              <c:strCache>
                <c:ptCount val="4"/>
                <c:pt idx="0">
                  <c:v> Mooncake </c:v>
                </c:pt>
                <c:pt idx="1">
                  <c:v> Solite Cake </c:v>
                </c:pt>
                <c:pt idx="2">
                  <c:v> Cosy Biscuit </c:v>
                </c:pt>
                <c:pt idx="3">
                  <c:v> AFC Crackers </c:v>
                </c:pt>
              </c:strCache>
            </c:strRef>
          </c:cat>
          <c:val>
            <c:numRef>
              <c:f>'FINAL NPV, IRR, Payback'!$F$38:$F$41</c:f>
              <c:numCache>
                <c:formatCode>_(\ #,##0_);_(\ \(#,##0\);_(\ "-"??_);_(@_)</c:formatCode>
                <c:ptCount val="4"/>
                <c:pt idx="0">
                  <c:v>650.10241289589828</c:v>
                </c:pt>
                <c:pt idx="1">
                  <c:v>284.41980564195552</c:v>
                </c:pt>
                <c:pt idx="2">
                  <c:v>272.81083398310022</c:v>
                </c:pt>
                <c:pt idx="3">
                  <c:v>307.63774895966617</c:v>
                </c:pt>
              </c:numCache>
            </c:numRef>
          </c:val>
          <c:extLst>
            <c:ext xmlns:c16="http://schemas.microsoft.com/office/drawing/2014/chart" uri="{C3380CC4-5D6E-409C-BE32-E72D297353CC}">
              <c16:uniqueId val="{00000001-257E-4FB5-B527-BC5169C4B87C}"/>
            </c:ext>
          </c:extLst>
        </c:ser>
        <c:ser>
          <c:idx val="2"/>
          <c:order val="2"/>
          <c:tx>
            <c:strRef>
              <c:f>'FINAL NPV, IRR, Payback'!$G$37</c:f>
              <c:strCache>
                <c:ptCount val="1"/>
                <c:pt idx="0">
                  <c:v>2027</c:v>
                </c:pt>
              </c:strCache>
            </c:strRef>
          </c:tx>
          <c:spPr>
            <a:solidFill>
              <a:schemeClr val="accent3"/>
            </a:solidFill>
            <a:ln>
              <a:noFill/>
            </a:ln>
            <a:effectLst/>
          </c:spPr>
          <c:invertIfNegative val="0"/>
          <c:cat>
            <c:strRef>
              <c:f>'FINAL NPV, IRR, Payback'!$D$38:$D$41</c:f>
              <c:strCache>
                <c:ptCount val="4"/>
                <c:pt idx="0">
                  <c:v> Mooncake </c:v>
                </c:pt>
                <c:pt idx="1">
                  <c:v> Solite Cake </c:v>
                </c:pt>
                <c:pt idx="2">
                  <c:v> Cosy Biscuit </c:v>
                </c:pt>
                <c:pt idx="3">
                  <c:v> AFC Crackers </c:v>
                </c:pt>
              </c:strCache>
            </c:strRef>
          </c:cat>
          <c:val>
            <c:numRef>
              <c:f>'FINAL NPV, IRR, Payback'!$G$38:$G$41</c:f>
              <c:numCache>
                <c:formatCode>_(\ #,##0_);_(\ \(#,##0\);_(\ "-"??_);_(@_)</c:formatCode>
                <c:ptCount val="4"/>
                <c:pt idx="0">
                  <c:v>660.02802954699143</c:v>
                </c:pt>
                <c:pt idx="1">
                  <c:v>288.76226292680877</c:v>
                </c:pt>
                <c:pt idx="2">
                  <c:v>276.97604811346969</c:v>
                </c:pt>
                <c:pt idx="3">
                  <c:v>312.334692553487</c:v>
                </c:pt>
              </c:numCache>
            </c:numRef>
          </c:val>
          <c:extLst>
            <c:ext xmlns:c16="http://schemas.microsoft.com/office/drawing/2014/chart" uri="{C3380CC4-5D6E-409C-BE32-E72D297353CC}">
              <c16:uniqueId val="{00000002-257E-4FB5-B527-BC5169C4B87C}"/>
            </c:ext>
          </c:extLst>
        </c:ser>
        <c:ser>
          <c:idx val="3"/>
          <c:order val="3"/>
          <c:tx>
            <c:strRef>
              <c:f>'FINAL NPV, IRR, Payback'!$H$37</c:f>
              <c:strCache>
                <c:ptCount val="1"/>
                <c:pt idx="0">
                  <c:v>2028</c:v>
                </c:pt>
              </c:strCache>
            </c:strRef>
          </c:tx>
          <c:spPr>
            <a:solidFill>
              <a:schemeClr val="accent4"/>
            </a:solidFill>
            <a:ln>
              <a:noFill/>
            </a:ln>
            <a:effectLst/>
          </c:spPr>
          <c:invertIfNegative val="0"/>
          <c:cat>
            <c:strRef>
              <c:f>'FINAL NPV, IRR, Payback'!$D$38:$D$41</c:f>
              <c:strCache>
                <c:ptCount val="4"/>
                <c:pt idx="0">
                  <c:v> Mooncake </c:v>
                </c:pt>
                <c:pt idx="1">
                  <c:v> Solite Cake </c:v>
                </c:pt>
                <c:pt idx="2">
                  <c:v> Cosy Biscuit </c:v>
                </c:pt>
                <c:pt idx="3">
                  <c:v> AFC Crackers </c:v>
                </c:pt>
              </c:strCache>
            </c:strRef>
          </c:cat>
          <c:val>
            <c:numRef>
              <c:f>'FINAL NPV, IRR, Payback'!$H$38:$H$41</c:f>
              <c:numCache>
                <c:formatCode>_(\ #,##0_);_(\ \(#,##0\);_(\ "-"??_);_(@_)</c:formatCode>
                <c:ptCount val="4"/>
                <c:pt idx="0">
                  <c:v>669.84781556558801</c:v>
                </c:pt>
                <c:pt idx="1">
                  <c:v>293.05841930994478</c:v>
                </c:pt>
                <c:pt idx="2">
                  <c:v>281.09685117484503</c:v>
                </c:pt>
                <c:pt idx="3">
                  <c:v>316.98155558014429</c:v>
                </c:pt>
              </c:numCache>
            </c:numRef>
          </c:val>
          <c:extLst>
            <c:ext xmlns:c16="http://schemas.microsoft.com/office/drawing/2014/chart" uri="{C3380CC4-5D6E-409C-BE32-E72D297353CC}">
              <c16:uniqueId val="{00000003-257E-4FB5-B527-BC5169C4B87C}"/>
            </c:ext>
          </c:extLst>
        </c:ser>
        <c:ser>
          <c:idx val="4"/>
          <c:order val="4"/>
          <c:tx>
            <c:strRef>
              <c:f>'FINAL NPV, IRR, Payback'!$I$37</c:f>
              <c:strCache>
                <c:ptCount val="1"/>
                <c:pt idx="0">
                  <c:v>2029</c:v>
                </c:pt>
              </c:strCache>
            </c:strRef>
          </c:tx>
          <c:spPr>
            <a:solidFill>
              <a:schemeClr val="accent5"/>
            </a:solidFill>
            <a:ln>
              <a:noFill/>
            </a:ln>
            <a:effectLst/>
          </c:spPr>
          <c:invertIfNegative val="0"/>
          <c:cat>
            <c:strRef>
              <c:f>'FINAL NPV, IRR, Payback'!$D$38:$D$41</c:f>
              <c:strCache>
                <c:ptCount val="4"/>
                <c:pt idx="0">
                  <c:v> Mooncake </c:v>
                </c:pt>
                <c:pt idx="1">
                  <c:v> Solite Cake </c:v>
                </c:pt>
                <c:pt idx="2">
                  <c:v> Cosy Biscuit </c:v>
                </c:pt>
                <c:pt idx="3">
                  <c:v> AFC Crackers </c:v>
                </c:pt>
              </c:strCache>
            </c:strRef>
          </c:cat>
          <c:val>
            <c:numRef>
              <c:f>'FINAL NPV, IRR, Payback'!$I$38:$I$41</c:f>
              <c:numCache>
                <c:formatCode>_(\ #,##0_);_(\ \(#,##0\);_(\ "-"??_);_(@_)</c:formatCode>
                <c:ptCount val="4"/>
                <c:pt idx="0">
                  <c:v>679.55916800685156</c:v>
                </c:pt>
                <c:pt idx="1">
                  <c:v>297.30713600299759</c:v>
                </c:pt>
                <c:pt idx="2">
                  <c:v>285.17215086001812</c:v>
                </c:pt>
                <c:pt idx="3">
                  <c:v>321.57710628895649</c:v>
                </c:pt>
              </c:numCache>
            </c:numRef>
          </c:val>
          <c:extLst>
            <c:ext xmlns:c16="http://schemas.microsoft.com/office/drawing/2014/chart" uri="{C3380CC4-5D6E-409C-BE32-E72D297353CC}">
              <c16:uniqueId val="{00000004-257E-4FB5-B527-BC5169C4B87C}"/>
            </c:ext>
          </c:extLst>
        </c:ser>
        <c:ser>
          <c:idx val="5"/>
          <c:order val="5"/>
          <c:tx>
            <c:strRef>
              <c:f>'FINAL NPV, IRR, Payback'!$J$37</c:f>
              <c:strCache>
                <c:ptCount val="1"/>
                <c:pt idx="0">
                  <c:v>2030</c:v>
                </c:pt>
              </c:strCache>
            </c:strRef>
          </c:tx>
          <c:spPr>
            <a:solidFill>
              <a:schemeClr val="accent6"/>
            </a:solidFill>
            <a:ln>
              <a:noFill/>
            </a:ln>
            <a:effectLst/>
          </c:spPr>
          <c:invertIfNegative val="0"/>
          <c:cat>
            <c:strRef>
              <c:f>'FINAL NPV, IRR, Payback'!$D$38:$D$41</c:f>
              <c:strCache>
                <c:ptCount val="4"/>
                <c:pt idx="0">
                  <c:v> Mooncake </c:v>
                </c:pt>
                <c:pt idx="1">
                  <c:v> Solite Cake </c:v>
                </c:pt>
                <c:pt idx="2">
                  <c:v> Cosy Biscuit </c:v>
                </c:pt>
                <c:pt idx="3">
                  <c:v> AFC Crackers </c:v>
                </c:pt>
              </c:strCache>
            </c:strRef>
          </c:cat>
          <c:val>
            <c:numRef>
              <c:f>'FINAL NPV, IRR, Payback'!$J$38:$J$41</c:f>
              <c:numCache>
                <c:formatCode>_(\ #,##0_);_(\ \(#,##0\);_(\ "-"??_);_(@_)</c:formatCode>
                <c:ptCount val="4"/>
                <c:pt idx="0">
                  <c:v>689.15968833245142</c:v>
                </c:pt>
                <c:pt idx="1">
                  <c:v>301.50736364544753</c:v>
                </c:pt>
                <c:pt idx="2">
                  <c:v>289.20094063951092</c:v>
                </c:pt>
                <c:pt idx="3">
                  <c:v>326.12020965732074</c:v>
                </c:pt>
              </c:numCache>
            </c:numRef>
          </c:val>
          <c:extLst>
            <c:ext xmlns:c16="http://schemas.microsoft.com/office/drawing/2014/chart" uri="{C3380CC4-5D6E-409C-BE32-E72D297353CC}">
              <c16:uniqueId val="{00000005-257E-4FB5-B527-BC5169C4B87C}"/>
            </c:ext>
          </c:extLst>
        </c:ser>
        <c:ser>
          <c:idx val="6"/>
          <c:order val="6"/>
          <c:tx>
            <c:strRef>
              <c:f>'FINAL NPV, IRR, Payback'!$K$37</c:f>
              <c:strCache>
                <c:ptCount val="1"/>
                <c:pt idx="0">
                  <c:v>2031</c:v>
                </c:pt>
              </c:strCache>
            </c:strRef>
          </c:tx>
          <c:spPr>
            <a:solidFill>
              <a:schemeClr val="accent1">
                <a:lumMod val="60000"/>
              </a:schemeClr>
            </a:solidFill>
            <a:ln>
              <a:noFill/>
            </a:ln>
            <a:effectLst/>
          </c:spPr>
          <c:invertIfNegative val="0"/>
          <c:cat>
            <c:strRef>
              <c:f>'FINAL NPV, IRR, Payback'!$D$38:$D$41</c:f>
              <c:strCache>
                <c:ptCount val="4"/>
                <c:pt idx="0">
                  <c:v> Mooncake </c:v>
                </c:pt>
                <c:pt idx="1">
                  <c:v> Solite Cake </c:v>
                </c:pt>
                <c:pt idx="2">
                  <c:v> Cosy Biscuit </c:v>
                </c:pt>
                <c:pt idx="3">
                  <c:v> AFC Crackers </c:v>
                </c:pt>
              </c:strCache>
            </c:strRef>
          </c:cat>
          <c:val>
            <c:numRef>
              <c:f>'FINAL NPV, IRR, Payback'!$K$38:$K$41</c:f>
              <c:numCache>
                <c:formatCode>_(\ #,##0_);_(\ \(#,##0\);_(\ "-"??_);_(@_)</c:formatCode>
                <c:ptCount val="4"/>
                <c:pt idx="0">
                  <c:v>698.64717735887064</c:v>
                </c:pt>
                <c:pt idx="1">
                  <c:v>305.65814009450594</c:v>
                </c:pt>
                <c:pt idx="2">
                  <c:v>293.18229764166898</c:v>
                </c:pt>
                <c:pt idx="3">
                  <c:v>330.60982500017985</c:v>
                </c:pt>
              </c:numCache>
            </c:numRef>
          </c:val>
          <c:extLst>
            <c:ext xmlns:c16="http://schemas.microsoft.com/office/drawing/2014/chart" uri="{C3380CC4-5D6E-409C-BE32-E72D297353CC}">
              <c16:uniqueId val="{00000006-257E-4FB5-B527-BC5169C4B87C}"/>
            </c:ext>
          </c:extLst>
        </c:ser>
        <c:dLbls>
          <c:showLegendKey val="0"/>
          <c:showVal val="0"/>
          <c:showCatName val="0"/>
          <c:showSerName val="0"/>
          <c:showPercent val="0"/>
          <c:showBubbleSize val="0"/>
        </c:dLbls>
        <c:gapWidth val="219"/>
        <c:overlap val="-27"/>
        <c:axId val="282157007"/>
        <c:axId val="282158447"/>
      </c:barChart>
      <c:catAx>
        <c:axId val="282157007"/>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82158447"/>
        <c:crosses val="autoZero"/>
        <c:auto val="1"/>
        <c:lblAlgn val="ctr"/>
        <c:lblOffset val="100"/>
        <c:noMultiLvlLbl val="0"/>
      </c:catAx>
      <c:valAx>
        <c:axId val="282158447"/>
        <c:scaling>
          <c:orientation val="minMax"/>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lgn="ct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8215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sz="1200" b="1" i="0" u="none" strike="noStrike" kern="1200" spc="0" baseline="0">
                <a:solidFill>
                  <a:sysClr val="windowText" lastClr="000000"/>
                </a:solidFill>
                <a:latin typeface="Times New Roman" panose="02020603050405020304" pitchFamily="18" charset="0"/>
                <a:cs typeface="Times New Roman" panose="02020603050405020304" pitchFamily="18" charset="0"/>
              </a:rPr>
              <a:t>Products Revenue Forecasting of Philippines' MKD (PHP)</a:t>
            </a:r>
            <a:endParaRPr lang="en-US" sz="1200" b="1" i="0" u="none" strike="noStrike" kern="1200" spc="0" baseline="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'FINAL NPV, IRR, Payback'!$E$42</c:f>
              <c:strCache>
                <c:ptCount val="1"/>
                <c:pt idx="0">
                  <c:v>2025</c:v>
                </c:pt>
              </c:strCache>
            </c:strRef>
          </c:tx>
          <c:spPr>
            <a:solidFill>
              <a:schemeClr val="accent1"/>
            </a:solidFill>
            <a:ln>
              <a:noFill/>
            </a:ln>
            <a:effectLst/>
          </c:spPr>
          <c:invertIfNegative val="0"/>
          <c:cat>
            <c:strRef>
              <c:f>'FINAL NPV, IRR, Payback'!$D$43:$D$46</c:f>
              <c:strCache>
                <c:ptCount val="4"/>
                <c:pt idx="0">
                  <c:v> Mooncake </c:v>
                </c:pt>
                <c:pt idx="1">
                  <c:v> Solite Cake </c:v>
                </c:pt>
                <c:pt idx="2">
                  <c:v> Cosy Biscuit </c:v>
                </c:pt>
                <c:pt idx="3">
                  <c:v> AFC Crackers </c:v>
                </c:pt>
              </c:strCache>
            </c:strRef>
          </c:cat>
          <c:val>
            <c:numRef>
              <c:f>'FINAL NPV, IRR, Payback'!$E$43:$E$46</c:f>
              <c:numCache>
                <c:formatCode>_(\ #,##0_);_(\ \(#,##0\);_(\ "-"??_);_(@_)</c:formatCode>
                <c:ptCount val="4"/>
                <c:pt idx="0">
                  <c:v>257309658.66666642</c:v>
                </c:pt>
                <c:pt idx="1">
                  <c:v>453372257.72222185</c:v>
                </c:pt>
                <c:pt idx="2">
                  <c:v>998663681.88888812</c:v>
                </c:pt>
                <c:pt idx="3">
                  <c:v>343176698.94444418</c:v>
                </c:pt>
              </c:numCache>
            </c:numRef>
          </c:val>
          <c:extLst>
            <c:ext xmlns:c16="http://schemas.microsoft.com/office/drawing/2014/chart" uri="{C3380CC4-5D6E-409C-BE32-E72D297353CC}">
              <c16:uniqueId val="{00000000-6F10-46CE-86AB-CF808F646FED}"/>
            </c:ext>
          </c:extLst>
        </c:ser>
        <c:ser>
          <c:idx val="1"/>
          <c:order val="1"/>
          <c:tx>
            <c:strRef>
              <c:f>'FINAL NPV, IRR, Payback'!$F$42</c:f>
              <c:strCache>
                <c:ptCount val="1"/>
                <c:pt idx="0">
                  <c:v>2026</c:v>
                </c:pt>
              </c:strCache>
            </c:strRef>
          </c:tx>
          <c:spPr>
            <a:solidFill>
              <a:schemeClr val="accent2"/>
            </a:solidFill>
            <a:ln>
              <a:noFill/>
            </a:ln>
            <a:effectLst/>
          </c:spPr>
          <c:invertIfNegative val="0"/>
          <c:cat>
            <c:strRef>
              <c:f>'FINAL NPV, IRR, Payback'!$D$43:$D$46</c:f>
              <c:strCache>
                <c:ptCount val="4"/>
                <c:pt idx="0">
                  <c:v> Mooncake </c:v>
                </c:pt>
                <c:pt idx="1">
                  <c:v> Solite Cake </c:v>
                </c:pt>
                <c:pt idx="2">
                  <c:v> Cosy Biscuit </c:v>
                </c:pt>
                <c:pt idx="3">
                  <c:v> AFC Crackers </c:v>
                </c:pt>
              </c:strCache>
            </c:strRef>
          </c:cat>
          <c:val>
            <c:numRef>
              <c:f>'FINAL NPV, IRR, Payback'!$F$43:$F$46</c:f>
              <c:numCache>
                <c:formatCode>_(\ #,##0_);_(\ \(#,##0\);_(\ "-"??_);_(@_)</c:formatCode>
                <c:ptCount val="4"/>
                <c:pt idx="0">
                  <c:v>272025998.37693399</c:v>
                </c:pt>
                <c:pt idx="1">
                  <c:v>484911659.97262841</c:v>
                </c:pt>
                <c:pt idx="2">
                  <c:v>1025612079.5965258</c:v>
                </c:pt>
                <c:pt idx="3">
                  <c:v>362265481.92604369</c:v>
                </c:pt>
              </c:numCache>
            </c:numRef>
          </c:val>
          <c:extLst>
            <c:ext xmlns:c16="http://schemas.microsoft.com/office/drawing/2014/chart" uri="{C3380CC4-5D6E-409C-BE32-E72D297353CC}">
              <c16:uniqueId val="{00000001-6F10-46CE-86AB-CF808F646FED}"/>
            </c:ext>
          </c:extLst>
        </c:ser>
        <c:ser>
          <c:idx val="2"/>
          <c:order val="2"/>
          <c:tx>
            <c:strRef>
              <c:f>'FINAL NPV, IRR, Payback'!$G$42</c:f>
              <c:strCache>
                <c:ptCount val="1"/>
                <c:pt idx="0">
                  <c:v>2027</c:v>
                </c:pt>
              </c:strCache>
            </c:strRef>
          </c:tx>
          <c:spPr>
            <a:solidFill>
              <a:schemeClr val="accent3"/>
            </a:solidFill>
            <a:ln>
              <a:noFill/>
            </a:ln>
            <a:effectLst/>
          </c:spPr>
          <c:invertIfNegative val="0"/>
          <c:cat>
            <c:strRef>
              <c:f>'FINAL NPV, IRR, Payback'!$D$43:$D$46</c:f>
              <c:strCache>
                <c:ptCount val="4"/>
                <c:pt idx="0">
                  <c:v> Mooncake </c:v>
                </c:pt>
                <c:pt idx="1">
                  <c:v> Solite Cake </c:v>
                </c:pt>
                <c:pt idx="2">
                  <c:v> Cosy Biscuit </c:v>
                </c:pt>
                <c:pt idx="3">
                  <c:v> AFC Crackers </c:v>
                </c:pt>
              </c:strCache>
            </c:strRef>
          </c:cat>
          <c:val>
            <c:numRef>
              <c:f>'FINAL NPV, IRR, Payback'!$G$43:$G$46</c:f>
              <c:numCache>
                <c:formatCode>_(\ #,##0_);_(\ \(#,##0\);_(\ "-"??_);_(@_)</c:formatCode>
                <c:ptCount val="4"/>
                <c:pt idx="0">
                  <c:v>289231469.1883989</c:v>
                </c:pt>
                <c:pt idx="1">
                  <c:v>517299775.27681714</c:v>
                </c:pt>
                <c:pt idx="2">
                  <c:v>1054032246.1585945</c:v>
                </c:pt>
                <c:pt idx="3">
                  <c:v>384653584.64261562</c:v>
                </c:pt>
              </c:numCache>
            </c:numRef>
          </c:val>
          <c:extLst>
            <c:ext xmlns:c16="http://schemas.microsoft.com/office/drawing/2014/chart" uri="{C3380CC4-5D6E-409C-BE32-E72D297353CC}">
              <c16:uniqueId val="{00000002-6F10-46CE-86AB-CF808F646FED}"/>
            </c:ext>
          </c:extLst>
        </c:ser>
        <c:ser>
          <c:idx val="3"/>
          <c:order val="3"/>
          <c:tx>
            <c:strRef>
              <c:f>'FINAL NPV, IRR, Payback'!$H$42</c:f>
              <c:strCache>
                <c:ptCount val="1"/>
                <c:pt idx="0">
                  <c:v>2028</c:v>
                </c:pt>
              </c:strCache>
            </c:strRef>
          </c:tx>
          <c:spPr>
            <a:solidFill>
              <a:schemeClr val="accent4"/>
            </a:solidFill>
            <a:ln>
              <a:noFill/>
            </a:ln>
            <a:effectLst/>
          </c:spPr>
          <c:invertIfNegative val="0"/>
          <c:cat>
            <c:strRef>
              <c:f>'FINAL NPV, IRR, Payback'!$D$43:$D$46</c:f>
              <c:strCache>
                <c:ptCount val="4"/>
                <c:pt idx="0">
                  <c:v> Mooncake </c:v>
                </c:pt>
                <c:pt idx="1">
                  <c:v> Solite Cake </c:v>
                </c:pt>
                <c:pt idx="2">
                  <c:v> Cosy Biscuit </c:v>
                </c:pt>
                <c:pt idx="3">
                  <c:v> AFC Crackers </c:v>
                </c:pt>
              </c:strCache>
            </c:strRef>
          </c:cat>
          <c:val>
            <c:numRef>
              <c:f>'FINAL NPV, IRR, Payback'!$H$43:$H$46</c:f>
              <c:numCache>
                <c:formatCode>_(\ #,##0_);_(\ \(#,##0\);_(\ "-"??_);_(@_)</c:formatCode>
                <c:ptCount val="4"/>
                <c:pt idx="0">
                  <c:v>309710698.92106348</c:v>
                </c:pt>
                <c:pt idx="1">
                  <c:v>499678957.68205726</c:v>
                </c:pt>
                <c:pt idx="2">
                  <c:v>1084064401.710182</c:v>
                </c:pt>
                <c:pt idx="3">
                  <c:v>411029063.60448438</c:v>
                </c:pt>
              </c:numCache>
            </c:numRef>
          </c:val>
          <c:extLst>
            <c:ext xmlns:c16="http://schemas.microsoft.com/office/drawing/2014/chart" uri="{C3380CC4-5D6E-409C-BE32-E72D297353CC}">
              <c16:uniqueId val="{00000003-6F10-46CE-86AB-CF808F646FED}"/>
            </c:ext>
          </c:extLst>
        </c:ser>
        <c:ser>
          <c:idx val="4"/>
          <c:order val="4"/>
          <c:tx>
            <c:strRef>
              <c:f>'FINAL NPV, IRR, Payback'!$I$42</c:f>
              <c:strCache>
                <c:ptCount val="1"/>
                <c:pt idx="0">
                  <c:v>2029</c:v>
                </c:pt>
              </c:strCache>
            </c:strRef>
          </c:tx>
          <c:spPr>
            <a:solidFill>
              <a:schemeClr val="accent5"/>
            </a:solidFill>
            <a:ln>
              <a:noFill/>
            </a:ln>
            <a:effectLst/>
          </c:spPr>
          <c:invertIfNegative val="0"/>
          <c:cat>
            <c:strRef>
              <c:f>'FINAL NPV, IRR, Payback'!$D$43:$D$46</c:f>
              <c:strCache>
                <c:ptCount val="4"/>
                <c:pt idx="0">
                  <c:v> Mooncake </c:v>
                </c:pt>
                <c:pt idx="1">
                  <c:v> Solite Cake </c:v>
                </c:pt>
                <c:pt idx="2">
                  <c:v> Cosy Biscuit </c:v>
                </c:pt>
                <c:pt idx="3">
                  <c:v> AFC Crackers </c:v>
                </c:pt>
              </c:strCache>
            </c:strRef>
          </c:cat>
          <c:val>
            <c:numRef>
              <c:f>'FINAL NPV, IRR, Payback'!$I$43:$I$46</c:f>
              <c:numCache>
                <c:formatCode>_(\ #,##0_);_(\ \(#,##0\);_(\ "-"??_);_(@_)</c:formatCode>
                <c:ptCount val="4"/>
                <c:pt idx="0">
                  <c:v>334797665.17183834</c:v>
                </c:pt>
                <c:pt idx="1">
                  <c:v>483878005.08867639</c:v>
                </c:pt>
                <c:pt idx="2">
                  <c:v>1115862912.2297313</c:v>
                </c:pt>
                <c:pt idx="3">
                  <c:v>442260217.89573574</c:v>
                </c:pt>
              </c:numCache>
            </c:numRef>
          </c:val>
          <c:extLst>
            <c:ext xmlns:c16="http://schemas.microsoft.com/office/drawing/2014/chart" uri="{C3380CC4-5D6E-409C-BE32-E72D297353CC}">
              <c16:uniqueId val="{00000004-6F10-46CE-86AB-CF808F646FED}"/>
            </c:ext>
          </c:extLst>
        </c:ser>
        <c:ser>
          <c:idx val="5"/>
          <c:order val="5"/>
          <c:tx>
            <c:strRef>
              <c:f>'FINAL NPV, IRR, Payback'!$J$42</c:f>
              <c:strCache>
                <c:ptCount val="1"/>
                <c:pt idx="0">
                  <c:v>2030</c:v>
                </c:pt>
              </c:strCache>
            </c:strRef>
          </c:tx>
          <c:spPr>
            <a:solidFill>
              <a:schemeClr val="accent6"/>
            </a:solidFill>
            <a:ln>
              <a:noFill/>
            </a:ln>
            <a:effectLst/>
          </c:spPr>
          <c:invertIfNegative val="0"/>
          <c:cat>
            <c:strRef>
              <c:f>'FINAL NPV, IRR, Payback'!$D$43:$D$46</c:f>
              <c:strCache>
                <c:ptCount val="4"/>
                <c:pt idx="0">
                  <c:v> Mooncake </c:v>
                </c:pt>
                <c:pt idx="1">
                  <c:v> Solite Cake </c:v>
                </c:pt>
                <c:pt idx="2">
                  <c:v> Cosy Biscuit </c:v>
                </c:pt>
                <c:pt idx="3">
                  <c:v> AFC Crackers </c:v>
                </c:pt>
              </c:strCache>
            </c:strRef>
          </c:cat>
          <c:val>
            <c:numRef>
              <c:f>'FINAL NPV, IRR, Payback'!$J$43:$J$46</c:f>
              <c:numCache>
                <c:formatCode>_(\ #,##0_);_(\ \(#,##0\);_(\ "-"??_);_(@_)</c:formatCode>
                <c:ptCount val="4"/>
                <c:pt idx="0">
                  <c:v>366590688.60924971</c:v>
                </c:pt>
                <c:pt idx="1">
                  <c:v>469894035.72734851</c:v>
                </c:pt>
                <c:pt idx="2">
                  <c:v>1149598020.1342671</c:v>
                </c:pt>
                <c:pt idx="3">
                  <c:v>479452815.36342728</c:v>
                </c:pt>
              </c:numCache>
            </c:numRef>
          </c:val>
          <c:extLst>
            <c:ext xmlns:c16="http://schemas.microsoft.com/office/drawing/2014/chart" uri="{C3380CC4-5D6E-409C-BE32-E72D297353CC}">
              <c16:uniqueId val="{00000005-6F10-46CE-86AB-CF808F646FED}"/>
            </c:ext>
          </c:extLst>
        </c:ser>
        <c:ser>
          <c:idx val="6"/>
          <c:order val="6"/>
          <c:tx>
            <c:strRef>
              <c:f>'FINAL NPV, IRR, Payback'!$K$42</c:f>
              <c:strCache>
                <c:ptCount val="1"/>
                <c:pt idx="0">
                  <c:v>2031</c:v>
                </c:pt>
              </c:strCache>
            </c:strRef>
          </c:tx>
          <c:spPr>
            <a:solidFill>
              <a:schemeClr val="accent1">
                <a:lumMod val="60000"/>
              </a:schemeClr>
            </a:solidFill>
            <a:ln>
              <a:noFill/>
            </a:ln>
            <a:effectLst/>
          </c:spPr>
          <c:invertIfNegative val="0"/>
          <c:cat>
            <c:strRef>
              <c:f>'FINAL NPV, IRR, Payback'!$D$43:$D$46</c:f>
              <c:strCache>
                <c:ptCount val="4"/>
                <c:pt idx="0">
                  <c:v> Mooncake </c:v>
                </c:pt>
                <c:pt idx="1">
                  <c:v> Solite Cake </c:v>
                </c:pt>
                <c:pt idx="2">
                  <c:v> Cosy Biscuit </c:v>
                </c:pt>
                <c:pt idx="3">
                  <c:v> AFC Crackers </c:v>
                </c:pt>
              </c:strCache>
            </c:strRef>
          </c:cat>
          <c:val>
            <c:numRef>
              <c:f>'FINAL NPV, IRR, Payback'!$K$43:$K$46</c:f>
              <c:numCache>
                <c:formatCode>_(\ #,##0_);_(\ \(#,##0\);_(\ "-"??_);_(@_)</c:formatCode>
                <c:ptCount val="4"/>
                <c:pt idx="0">
                  <c:v>408603917.91755319</c:v>
                </c:pt>
                <c:pt idx="1">
                  <c:v>457744813.61775637</c:v>
                </c:pt>
                <c:pt idx="2">
                  <c:v>1185457824.7650878</c:v>
                </c:pt>
                <c:pt idx="3">
                  <c:v>524028517.22452825</c:v>
                </c:pt>
              </c:numCache>
            </c:numRef>
          </c:val>
          <c:extLst>
            <c:ext xmlns:c16="http://schemas.microsoft.com/office/drawing/2014/chart" uri="{C3380CC4-5D6E-409C-BE32-E72D297353CC}">
              <c16:uniqueId val="{00000006-6F10-46CE-86AB-CF808F646FED}"/>
            </c:ext>
          </c:extLst>
        </c:ser>
        <c:dLbls>
          <c:showLegendKey val="0"/>
          <c:showVal val="0"/>
          <c:showCatName val="0"/>
          <c:showSerName val="0"/>
          <c:showPercent val="0"/>
          <c:showBubbleSize val="0"/>
        </c:dLbls>
        <c:gapWidth val="219"/>
        <c:overlap val="-27"/>
        <c:axId val="835332655"/>
        <c:axId val="835335535"/>
      </c:barChart>
      <c:catAx>
        <c:axId val="83533265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35335535"/>
        <c:crosses val="autoZero"/>
        <c:auto val="1"/>
        <c:lblAlgn val="ctr"/>
        <c:lblOffset val="100"/>
        <c:noMultiLvlLbl val="0"/>
      </c:catAx>
      <c:valAx>
        <c:axId val="835335535"/>
        <c:scaling>
          <c:orientation val="minMax"/>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35332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sz="1150" b="1" i="0" u="none" strike="noStrike" kern="1200" spc="0" baseline="0">
                <a:solidFill>
                  <a:sysClr val="windowText" lastClr="000000"/>
                </a:solidFill>
                <a:latin typeface="Times New Roman" panose="02020603050405020304" pitchFamily="18" charset="0"/>
                <a:cs typeface="Times New Roman" panose="02020603050405020304" pitchFamily="18" charset="0"/>
              </a:rPr>
              <a:t>Products COGS Forecasting of Philippines' MKD (PHP)</a:t>
            </a:r>
            <a:endParaRPr lang="en-US" sz="1150" b="1" i="0" u="none" strike="noStrike" kern="1200" spc="0" baseline="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'FINAL NPV, IRR, Payback'!$E$47</c:f>
              <c:strCache>
                <c:ptCount val="1"/>
                <c:pt idx="0">
                  <c:v>2025</c:v>
                </c:pt>
              </c:strCache>
            </c:strRef>
          </c:tx>
          <c:spPr>
            <a:solidFill>
              <a:schemeClr val="accent1"/>
            </a:solidFill>
            <a:ln>
              <a:noFill/>
            </a:ln>
            <a:effectLst/>
          </c:spPr>
          <c:invertIfNegative val="0"/>
          <c:cat>
            <c:strRef>
              <c:f>'FINAL NPV, IRR, Payback'!$D$48:$D$51</c:f>
              <c:strCache>
                <c:ptCount val="4"/>
                <c:pt idx="0">
                  <c:v> Mooncake </c:v>
                </c:pt>
                <c:pt idx="1">
                  <c:v> Solite Cake </c:v>
                </c:pt>
                <c:pt idx="2">
                  <c:v> Cosy Biscuit </c:v>
                </c:pt>
                <c:pt idx="3">
                  <c:v> AFC Crackers </c:v>
                </c:pt>
              </c:strCache>
            </c:strRef>
          </c:cat>
          <c:val>
            <c:numRef>
              <c:f>'FINAL NPV, IRR, Payback'!$E$48:$E$51</c:f>
              <c:numCache>
                <c:formatCode>_(\ #,##0_);_(\ \(#,##0\);_(\ "-"??_);_(@_)</c:formatCode>
                <c:ptCount val="4"/>
                <c:pt idx="0">
                  <c:v>105221271.13333325</c:v>
                </c:pt>
                <c:pt idx="1">
                  <c:v>233162875.39999983</c:v>
                </c:pt>
                <c:pt idx="2">
                  <c:v>499331840.94444406</c:v>
                </c:pt>
                <c:pt idx="3">
                  <c:v>160580794.97777766</c:v>
                </c:pt>
              </c:numCache>
            </c:numRef>
          </c:val>
          <c:extLst>
            <c:ext xmlns:c16="http://schemas.microsoft.com/office/drawing/2014/chart" uri="{C3380CC4-5D6E-409C-BE32-E72D297353CC}">
              <c16:uniqueId val="{00000000-DDC8-46D6-945E-9F2BC7969088}"/>
            </c:ext>
          </c:extLst>
        </c:ser>
        <c:ser>
          <c:idx val="1"/>
          <c:order val="1"/>
          <c:tx>
            <c:strRef>
              <c:f>'FINAL NPV, IRR, Payback'!$F$47</c:f>
              <c:strCache>
                <c:ptCount val="1"/>
                <c:pt idx="0">
                  <c:v>2026</c:v>
                </c:pt>
              </c:strCache>
            </c:strRef>
          </c:tx>
          <c:spPr>
            <a:solidFill>
              <a:schemeClr val="accent2"/>
            </a:solidFill>
            <a:ln>
              <a:noFill/>
            </a:ln>
            <a:effectLst/>
          </c:spPr>
          <c:invertIfNegative val="0"/>
          <c:cat>
            <c:strRef>
              <c:f>'FINAL NPV, IRR, Payback'!$D$48:$D$51</c:f>
              <c:strCache>
                <c:ptCount val="4"/>
                <c:pt idx="0">
                  <c:v> Mooncake </c:v>
                </c:pt>
                <c:pt idx="1">
                  <c:v> Solite Cake </c:v>
                </c:pt>
                <c:pt idx="2">
                  <c:v> Cosy Biscuit </c:v>
                </c:pt>
                <c:pt idx="3">
                  <c:v> AFC Crackers </c:v>
                </c:pt>
              </c:strCache>
            </c:strRef>
          </c:cat>
          <c:val>
            <c:numRef>
              <c:f>'FINAL NPV, IRR, Payback'!$F$48:$F$51</c:f>
              <c:numCache>
                <c:formatCode>_(\ #,##0_);_(\ \(#,##0\);_(\ "-"??_);_(@_)</c:formatCode>
                <c:ptCount val="4"/>
                <c:pt idx="0">
                  <c:v>103845288.77197577</c:v>
                </c:pt>
                <c:pt idx="1">
                  <c:v>240718090.66129434</c:v>
                </c:pt>
                <c:pt idx="2">
                  <c:v>494988117.75982833</c:v>
                </c:pt>
                <c:pt idx="3">
                  <c:v>163623021.46706527</c:v>
                </c:pt>
              </c:numCache>
            </c:numRef>
          </c:val>
          <c:extLst>
            <c:ext xmlns:c16="http://schemas.microsoft.com/office/drawing/2014/chart" uri="{C3380CC4-5D6E-409C-BE32-E72D297353CC}">
              <c16:uniqueId val="{00000001-DDC8-46D6-945E-9F2BC7969088}"/>
            </c:ext>
          </c:extLst>
        </c:ser>
        <c:ser>
          <c:idx val="2"/>
          <c:order val="2"/>
          <c:tx>
            <c:strRef>
              <c:f>'FINAL NPV, IRR, Payback'!$G$47</c:f>
              <c:strCache>
                <c:ptCount val="1"/>
                <c:pt idx="0">
                  <c:v>2027</c:v>
                </c:pt>
              </c:strCache>
            </c:strRef>
          </c:tx>
          <c:spPr>
            <a:solidFill>
              <a:schemeClr val="accent3"/>
            </a:solidFill>
            <a:ln>
              <a:noFill/>
            </a:ln>
            <a:effectLst/>
          </c:spPr>
          <c:invertIfNegative val="0"/>
          <c:cat>
            <c:strRef>
              <c:f>'FINAL NPV, IRR, Payback'!$D$48:$D$51</c:f>
              <c:strCache>
                <c:ptCount val="4"/>
                <c:pt idx="0">
                  <c:v> Mooncake </c:v>
                </c:pt>
                <c:pt idx="1">
                  <c:v> Solite Cake </c:v>
                </c:pt>
                <c:pt idx="2">
                  <c:v> Cosy Biscuit </c:v>
                </c:pt>
                <c:pt idx="3">
                  <c:v> AFC Crackers </c:v>
                </c:pt>
              </c:strCache>
            </c:strRef>
          </c:cat>
          <c:val>
            <c:numRef>
              <c:f>'FINAL NPV, IRR, Payback'!$G$48:$G$51</c:f>
              <c:numCache>
                <c:formatCode>_(\ #,##0_);_(\ \(#,##0\);_(\ "-"??_);_(@_)</c:formatCode>
                <c:ptCount val="4"/>
                <c:pt idx="0">
                  <c:v>100390184.80082598</c:v>
                </c:pt>
                <c:pt idx="1">
                  <c:v>242912474.52898782</c:v>
                </c:pt>
                <c:pt idx="2">
                  <c:v>481201496.71947008</c:v>
                </c:pt>
                <c:pt idx="3">
                  <c:v>164342035.94575167</c:v>
                </c:pt>
              </c:numCache>
            </c:numRef>
          </c:val>
          <c:extLst>
            <c:ext xmlns:c16="http://schemas.microsoft.com/office/drawing/2014/chart" uri="{C3380CC4-5D6E-409C-BE32-E72D297353CC}">
              <c16:uniqueId val="{00000002-DDC8-46D6-945E-9F2BC7969088}"/>
            </c:ext>
          </c:extLst>
        </c:ser>
        <c:ser>
          <c:idx val="3"/>
          <c:order val="3"/>
          <c:tx>
            <c:strRef>
              <c:f>'FINAL NPV, IRR, Payback'!$H$47</c:f>
              <c:strCache>
                <c:ptCount val="1"/>
                <c:pt idx="0">
                  <c:v>2028</c:v>
                </c:pt>
              </c:strCache>
            </c:strRef>
          </c:tx>
          <c:spPr>
            <a:solidFill>
              <a:schemeClr val="accent4"/>
            </a:solidFill>
            <a:ln>
              <a:noFill/>
            </a:ln>
            <a:effectLst/>
          </c:spPr>
          <c:invertIfNegative val="0"/>
          <c:cat>
            <c:strRef>
              <c:f>'FINAL NPV, IRR, Payback'!$D$48:$D$51</c:f>
              <c:strCache>
                <c:ptCount val="4"/>
                <c:pt idx="0">
                  <c:v> Mooncake </c:v>
                </c:pt>
                <c:pt idx="1">
                  <c:v> Solite Cake </c:v>
                </c:pt>
                <c:pt idx="2">
                  <c:v> Cosy Biscuit </c:v>
                </c:pt>
                <c:pt idx="3">
                  <c:v> AFC Crackers </c:v>
                </c:pt>
              </c:strCache>
            </c:strRef>
          </c:cat>
          <c:val>
            <c:numRef>
              <c:f>'FINAL NPV, IRR, Payback'!$H$48:$H$51</c:f>
              <c:numCache>
                <c:formatCode>_(\ #,##0_);_(\ \(#,##0\);_(\ "-"??_);_(@_)</c:formatCode>
                <c:ptCount val="4"/>
                <c:pt idx="0">
                  <c:v>107839723.3061811</c:v>
                </c:pt>
                <c:pt idx="1">
                  <c:v>246721288.04582125</c:v>
                </c:pt>
                <c:pt idx="2">
                  <c:v>520398684.05565327</c:v>
                </c:pt>
                <c:pt idx="3">
                  <c:v>184654308.25862893</c:v>
                </c:pt>
              </c:numCache>
            </c:numRef>
          </c:val>
          <c:extLst>
            <c:ext xmlns:c16="http://schemas.microsoft.com/office/drawing/2014/chart" uri="{C3380CC4-5D6E-409C-BE32-E72D297353CC}">
              <c16:uniqueId val="{00000003-DDC8-46D6-945E-9F2BC7969088}"/>
            </c:ext>
          </c:extLst>
        </c:ser>
        <c:ser>
          <c:idx val="4"/>
          <c:order val="4"/>
          <c:tx>
            <c:strRef>
              <c:f>'FINAL NPV, IRR, Payback'!$I$47</c:f>
              <c:strCache>
                <c:ptCount val="1"/>
                <c:pt idx="0">
                  <c:v>2029</c:v>
                </c:pt>
              </c:strCache>
            </c:strRef>
          </c:tx>
          <c:spPr>
            <a:solidFill>
              <a:schemeClr val="accent5"/>
            </a:solidFill>
            <a:ln>
              <a:noFill/>
            </a:ln>
            <a:effectLst/>
          </c:spPr>
          <c:invertIfNegative val="0"/>
          <c:cat>
            <c:strRef>
              <c:f>'FINAL NPV, IRR, Payback'!$D$48:$D$51</c:f>
              <c:strCache>
                <c:ptCount val="4"/>
                <c:pt idx="0">
                  <c:v> Mooncake </c:v>
                </c:pt>
                <c:pt idx="1">
                  <c:v> Solite Cake </c:v>
                </c:pt>
                <c:pt idx="2">
                  <c:v> Cosy Biscuit </c:v>
                </c:pt>
                <c:pt idx="3">
                  <c:v> AFC Crackers </c:v>
                </c:pt>
              </c:strCache>
            </c:strRef>
          </c:cat>
          <c:val>
            <c:numRef>
              <c:f>'FINAL NPV, IRR, Payback'!$I$48:$I$51</c:f>
              <c:numCache>
                <c:formatCode>_(\ #,##0_);_(\ \(#,##0\);_(\ "-"??_);_(@_)</c:formatCode>
                <c:ptCount val="4"/>
                <c:pt idx="0">
                  <c:v>115853042.81801343</c:v>
                </c:pt>
                <c:pt idx="1">
                  <c:v>251317143.1536136</c:v>
                </c:pt>
                <c:pt idx="2">
                  <c:v>563459388.44440198</c:v>
                </c:pt>
                <c:pt idx="3">
                  <c:v>208994789.51192117</c:v>
                </c:pt>
              </c:numCache>
            </c:numRef>
          </c:val>
          <c:extLst>
            <c:ext xmlns:c16="http://schemas.microsoft.com/office/drawing/2014/chart" uri="{C3380CC4-5D6E-409C-BE32-E72D297353CC}">
              <c16:uniqueId val="{00000004-DDC8-46D6-945E-9F2BC7969088}"/>
            </c:ext>
          </c:extLst>
        </c:ser>
        <c:ser>
          <c:idx val="5"/>
          <c:order val="5"/>
          <c:tx>
            <c:strRef>
              <c:f>'FINAL NPV, IRR, Payback'!$J$47</c:f>
              <c:strCache>
                <c:ptCount val="1"/>
                <c:pt idx="0">
                  <c:v>2030</c:v>
                </c:pt>
              </c:strCache>
            </c:strRef>
          </c:tx>
          <c:spPr>
            <a:solidFill>
              <a:schemeClr val="accent6"/>
            </a:solidFill>
            <a:ln>
              <a:noFill/>
            </a:ln>
            <a:effectLst/>
          </c:spPr>
          <c:invertIfNegative val="0"/>
          <c:cat>
            <c:strRef>
              <c:f>'FINAL NPV, IRR, Payback'!$D$48:$D$51</c:f>
              <c:strCache>
                <c:ptCount val="4"/>
                <c:pt idx="0">
                  <c:v> Mooncake </c:v>
                </c:pt>
                <c:pt idx="1">
                  <c:v> Solite Cake </c:v>
                </c:pt>
                <c:pt idx="2">
                  <c:v> Cosy Biscuit </c:v>
                </c:pt>
                <c:pt idx="3">
                  <c:v> AFC Crackers </c:v>
                </c:pt>
              </c:strCache>
            </c:strRef>
          </c:cat>
          <c:val>
            <c:numRef>
              <c:f>'FINAL NPV, IRR, Payback'!$J$48:$J$51</c:f>
              <c:numCache>
                <c:formatCode>_(\ #,##0_);_(\ \(#,##0\);_(\ "-"??_);_(@_)</c:formatCode>
                <c:ptCount val="4"/>
                <c:pt idx="0">
                  <c:v>124488302.71881093</c:v>
                </c:pt>
                <c:pt idx="1">
                  <c:v>256812037.20618424</c:v>
                </c:pt>
                <c:pt idx="2">
                  <c:v>610839332.76610053</c:v>
                </c:pt>
                <c:pt idx="3">
                  <c:v>238414501.08750877</c:v>
                </c:pt>
              </c:numCache>
            </c:numRef>
          </c:val>
          <c:extLst>
            <c:ext xmlns:c16="http://schemas.microsoft.com/office/drawing/2014/chart" uri="{C3380CC4-5D6E-409C-BE32-E72D297353CC}">
              <c16:uniqueId val="{00000005-DDC8-46D6-945E-9F2BC7969088}"/>
            </c:ext>
          </c:extLst>
        </c:ser>
        <c:ser>
          <c:idx val="6"/>
          <c:order val="6"/>
          <c:tx>
            <c:strRef>
              <c:f>'FINAL NPV, IRR, Payback'!$K$47</c:f>
              <c:strCache>
                <c:ptCount val="1"/>
                <c:pt idx="0">
                  <c:v>2031</c:v>
                </c:pt>
              </c:strCache>
            </c:strRef>
          </c:tx>
          <c:spPr>
            <a:solidFill>
              <a:schemeClr val="accent1">
                <a:lumMod val="60000"/>
              </a:schemeClr>
            </a:solidFill>
            <a:ln>
              <a:noFill/>
            </a:ln>
            <a:effectLst/>
          </c:spPr>
          <c:invertIfNegative val="0"/>
          <c:cat>
            <c:strRef>
              <c:f>'FINAL NPV, IRR, Payback'!$D$48:$D$51</c:f>
              <c:strCache>
                <c:ptCount val="4"/>
                <c:pt idx="0">
                  <c:v> Mooncake </c:v>
                </c:pt>
                <c:pt idx="1">
                  <c:v> Solite Cake </c:v>
                </c:pt>
                <c:pt idx="2">
                  <c:v> Cosy Biscuit </c:v>
                </c:pt>
                <c:pt idx="3">
                  <c:v> AFC Crackers </c:v>
                </c:pt>
              </c:strCache>
            </c:strRef>
          </c:cat>
          <c:val>
            <c:numRef>
              <c:f>'FINAL NPV, IRR, Payback'!$K$48:$K$51</c:f>
              <c:numCache>
                <c:formatCode>_(\ #,##0_);_(\ \(#,##0\);_(\ "-"??_);_(@_)</c:formatCode>
                <c:ptCount val="4"/>
                <c:pt idx="0">
                  <c:v>133817001.36763039</c:v>
                </c:pt>
                <c:pt idx="1">
                  <c:v>263343518.21217361</c:v>
                </c:pt>
                <c:pt idx="2">
                  <c:v>663056981.52272558</c:v>
                </c:pt>
                <c:pt idx="3">
                  <c:v>274299788.72486818</c:v>
                </c:pt>
              </c:numCache>
            </c:numRef>
          </c:val>
          <c:extLst>
            <c:ext xmlns:c16="http://schemas.microsoft.com/office/drawing/2014/chart" uri="{C3380CC4-5D6E-409C-BE32-E72D297353CC}">
              <c16:uniqueId val="{00000006-DDC8-46D6-945E-9F2BC7969088}"/>
            </c:ext>
          </c:extLst>
        </c:ser>
        <c:dLbls>
          <c:showLegendKey val="0"/>
          <c:showVal val="0"/>
          <c:showCatName val="0"/>
          <c:showSerName val="0"/>
          <c:showPercent val="0"/>
          <c:showBubbleSize val="0"/>
        </c:dLbls>
        <c:gapWidth val="219"/>
        <c:overlap val="-27"/>
        <c:axId val="1087240735"/>
        <c:axId val="1087232575"/>
      </c:barChart>
      <c:catAx>
        <c:axId val="108724073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87232575"/>
        <c:crosses val="autoZero"/>
        <c:auto val="1"/>
        <c:lblAlgn val="ctr"/>
        <c:lblOffset val="100"/>
        <c:noMultiLvlLbl val="0"/>
      </c:catAx>
      <c:valAx>
        <c:axId val="1087232575"/>
        <c:scaling>
          <c:orientation val="minMax"/>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8724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b="1"/>
              <a:t>Ingredients Forecasting for COGS estimation</a:t>
            </a:r>
            <a:endParaRPr lang="en-US" b="1"/>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1"/>
          <c:order val="1"/>
          <c:tx>
            <c:strRef>
              <c:f>'FINAL NPV, IRR, Payback'!$D$56</c:f>
              <c:strCache>
                <c:ptCount val="1"/>
                <c:pt idx="0">
                  <c:v> Sugar </c:v>
                </c:pt>
              </c:strCache>
            </c:strRef>
          </c:tx>
          <c:spPr>
            <a:ln w="28575" cap="rnd">
              <a:solidFill>
                <a:schemeClr val="accent2"/>
              </a:solidFill>
              <a:round/>
            </a:ln>
            <a:effectLst/>
          </c:spPr>
          <c:marker>
            <c:symbol val="none"/>
          </c:marker>
          <c:cat>
            <c:numRef>
              <c:f>'FINAL NPV, IRR, Payback'!$E$54:$L$54</c:f>
              <c:numCache>
                <c:formatCode>General</c:formatCode>
                <c:ptCount val="8"/>
                <c:pt idx="0">
                  <c:v>2024</c:v>
                </c:pt>
                <c:pt idx="1">
                  <c:v>2025</c:v>
                </c:pt>
                <c:pt idx="2">
                  <c:v>2026</c:v>
                </c:pt>
                <c:pt idx="3">
                  <c:v>2027</c:v>
                </c:pt>
                <c:pt idx="4">
                  <c:v>2028</c:v>
                </c:pt>
                <c:pt idx="5">
                  <c:v>2029</c:v>
                </c:pt>
                <c:pt idx="6">
                  <c:v>2030</c:v>
                </c:pt>
                <c:pt idx="7">
                  <c:v>2031</c:v>
                </c:pt>
              </c:numCache>
            </c:numRef>
          </c:cat>
          <c:val>
            <c:numRef>
              <c:f>'FINAL NPV, IRR, Payback'!$E$56:$L$56</c:f>
              <c:numCache>
                <c:formatCode>_(\ #,##0.0000_);_(\ \(#,##0.0000\);_(\ "-"??_);_(@_)</c:formatCode>
                <c:ptCount val="8"/>
                <c:pt idx="0">
                  <c:v>0.20599780219780214</c:v>
                </c:pt>
                <c:pt idx="1">
                  <c:v>0.20172898483026</c:v>
                </c:pt>
                <c:pt idx="2">
                  <c:v>0.19754862860901656</c:v>
                </c:pt>
                <c:pt idx="3">
                  <c:v>0.19345490038598168</c:v>
                </c:pt>
                <c:pt idx="4">
                  <c:v>0.18944600500072487</c:v>
                </c:pt>
                <c:pt idx="5">
                  <c:v>0.18552018449327093</c:v>
                </c:pt>
                <c:pt idx="6">
                  <c:v>0.18167571733320845</c:v>
                </c:pt>
                <c:pt idx="7">
                  <c:v>0.17791091766477318</c:v>
                </c:pt>
              </c:numCache>
            </c:numRef>
          </c:val>
          <c:smooth val="0"/>
          <c:extLst>
            <c:ext xmlns:c16="http://schemas.microsoft.com/office/drawing/2014/chart" uri="{C3380CC4-5D6E-409C-BE32-E72D297353CC}">
              <c16:uniqueId val="{00000001-46AD-4D55-B726-BEF56A5C7100}"/>
            </c:ext>
          </c:extLst>
        </c:ser>
        <c:dLbls>
          <c:showLegendKey val="0"/>
          <c:showVal val="0"/>
          <c:showCatName val="0"/>
          <c:showSerName val="0"/>
          <c:showPercent val="0"/>
          <c:showBubbleSize val="0"/>
        </c:dLbls>
        <c:marker val="1"/>
        <c:smooth val="0"/>
        <c:axId val="1087246495"/>
        <c:axId val="1087247935"/>
      </c:lineChart>
      <c:lineChart>
        <c:grouping val="standard"/>
        <c:varyColors val="0"/>
        <c:ser>
          <c:idx val="0"/>
          <c:order val="0"/>
          <c:tx>
            <c:strRef>
              <c:f>'FINAL NPV, IRR, Payback'!$D$55</c:f>
              <c:strCache>
                <c:ptCount val="1"/>
                <c:pt idx="0">
                  <c:v> Wheat </c:v>
                </c:pt>
              </c:strCache>
            </c:strRef>
          </c:tx>
          <c:spPr>
            <a:ln w="28575" cap="rnd">
              <a:solidFill>
                <a:schemeClr val="accent1"/>
              </a:solidFill>
              <a:round/>
            </a:ln>
            <a:effectLst/>
          </c:spPr>
          <c:marker>
            <c:symbol val="none"/>
          </c:marker>
          <c:cat>
            <c:numRef>
              <c:f>'FINAL NPV, IRR, Payback'!$E$54:$L$54</c:f>
              <c:numCache>
                <c:formatCode>General</c:formatCode>
                <c:ptCount val="8"/>
                <c:pt idx="0">
                  <c:v>2024</c:v>
                </c:pt>
                <c:pt idx="1">
                  <c:v>2025</c:v>
                </c:pt>
                <c:pt idx="2">
                  <c:v>2026</c:v>
                </c:pt>
                <c:pt idx="3">
                  <c:v>2027</c:v>
                </c:pt>
                <c:pt idx="4">
                  <c:v>2028</c:v>
                </c:pt>
                <c:pt idx="5">
                  <c:v>2029</c:v>
                </c:pt>
                <c:pt idx="6">
                  <c:v>2030</c:v>
                </c:pt>
                <c:pt idx="7">
                  <c:v>2031</c:v>
                </c:pt>
              </c:numCache>
            </c:numRef>
          </c:cat>
          <c:val>
            <c:numRef>
              <c:f>'FINAL NPV, IRR, Payback'!$E$55:$L$55</c:f>
              <c:numCache>
                <c:formatCode>_(\ #,##0.0000_);_(\ \(#,##0.0000\);_(\ "-"??_);_(@_)</c:formatCode>
                <c:ptCount val="8"/>
                <c:pt idx="0">
                  <c:v>6.3670274725274725</c:v>
                </c:pt>
                <c:pt idx="1">
                  <c:v>5.964985918086871</c:v>
                </c:pt>
                <c:pt idx="2">
                  <c:v>5.5883310000624702</c:v>
                </c:pt>
                <c:pt idx="3">
                  <c:v>5.2354596968227742</c:v>
                </c:pt>
                <c:pt idx="4">
                  <c:v>5.5660491852149443</c:v>
                </c:pt>
                <c:pt idx="5">
                  <c:v>5.9175135186377661</c:v>
                </c:pt>
                <c:pt idx="6">
                  <c:v>6.2911708247702922</c:v>
                </c:pt>
                <c:pt idx="7">
                  <c:v>6.6884224635539349</c:v>
                </c:pt>
              </c:numCache>
            </c:numRef>
          </c:val>
          <c:smooth val="0"/>
          <c:extLst>
            <c:ext xmlns:c16="http://schemas.microsoft.com/office/drawing/2014/chart" uri="{C3380CC4-5D6E-409C-BE32-E72D297353CC}">
              <c16:uniqueId val="{00000000-46AD-4D55-B726-BEF56A5C7100}"/>
            </c:ext>
          </c:extLst>
        </c:ser>
        <c:ser>
          <c:idx val="2"/>
          <c:order val="2"/>
          <c:tx>
            <c:strRef>
              <c:f>'FINAL NPV, IRR, Payback'!$D$57</c:f>
              <c:strCache>
                <c:ptCount val="1"/>
                <c:pt idx="0">
                  <c:v> Milk </c:v>
                </c:pt>
              </c:strCache>
            </c:strRef>
          </c:tx>
          <c:spPr>
            <a:ln w="28575" cap="rnd">
              <a:solidFill>
                <a:schemeClr val="accent3"/>
              </a:solidFill>
              <a:round/>
            </a:ln>
            <a:effectLst/>
          </c:spPr>
          <c:marker>
            <c:symbol val="none"/>
          </c:marker>
          <c:cat>
            <c:numRef>
              <c:f>'FINAL NPV, IRR, Payback'!$E$54:$L$54</c:f>
              <c:numCache>
                <c:formatCode>General</c:formatCode>
                <c:ptCount val="8"/>
                <c:pt idx="0">
                  <c:v>2024</c:v>
                </c:pt>
                <c:pt idx="1">
                  <c:v>2025</c:v>
                </c:pt>
                <c:pt idx="2">
                  <c:v>2026</c:v>
                </c:pt>
                <c:pt idx="3">
                  <c:v>2027</c:v>
                </c:pt>
                <c:pt idx="4">
                  <c:v>2028</c:v>
                </c:pt>
                <c:pt idx="5">
                  <c:v>2029</c:v>
                </c:pt>
                <c:pt idx="6">
                  <c:v>2030</c:v>
                </c:pt>
                <c:pt idx="7">
                  <c:v>2031</c:v>
                </c:pt>
              </c:numCache>
            </c:numRef>
          </c:cat>
          <c:val>
            <c:numRef>
              <c:f>'FINAL NPV, IRR, Payback'!$E$57:$L$57</c:f>
              <c:numCache>
                <c:formatCode>_(\ #,##0.0000_);_(\ \(#,##0.0000\);_(\ "-"??_);_(@_)</c:formatCode>
                <c:ptCount val="8"/>
                <c:pt idx="0">
                  <c:v>22.422999999999998</c:v>
                </c:pt>
                <c:pt idx="1">
                  <c:v>22.983000000000001</c:v>
                </c:pt>
                <c:pt idx="2">
                  <c:v>23.558</c:v>
                </c:pt>
                <c:pt idx="3">
                  <c:v>24.146999999999998</c:v>
                </c:pt>
                <c:pt idx="4">
                  <c:v>24.75</c:v>
                </c:pt>
                <c:pt idx="5">
                  <c:v>25.369</c:v>
                </c:pt>
                <c:pt idx="6">
                  <c:v>26.003</c:v>
                </c:pt>
                <c:pt idx="7">
                  <c:v>26.652999999999999</c:v>
                </c:pt>
              </c:numCache>
            </c:numRef>
          </c:val>
          <c:smooth val="0"/>
          <c:extLst>
            <c:ext xmlns:c16="http://schemas.microsoft.com/office/drawing/2014/chart" uri="{C3380CC4-5D6E-409C-BE32-E72D297353CC}">
              <c16:uniqueId val="{00000002-46AD-4D55-B726-BEF56A5C7100}"/>
            </c:ext>
          </c:extLst>
        </c:ser>
        <c:dLbls>
          <c:showLegendKey val="0"/>
          <c:showVal val="0"/>
          <c:showCatName val="0"/>
          <c:showSerName val="0"/>
          <c:showPercent val="0"/>
          <c:showBubbleSize val="0"/>
        </c:dLbls>
        <c:marker val="1"/>
        <c:smooth val="0"/>
        <c:axId val="1084564559"/>
        <c:axId val="1084541999"/>
      </c:lineChart>
      <c:catAx>
        <c:axId val="108724649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87247935"/>
        <c:crosses val="autoZero"/>
        <c:auto val="1"/>
        <c:lblAlgn val="ctr"/>
        <c:lblOffset val="100"/>
        <c:noMultiLvlLbl val="0"/>
      </c:catAx>
      <c:valAx>
        <c:axId val="1087247935"/>
        <c:scaling>
          <c:orientation val="minMax"/>
        </c:scaling>
        <c:delete val="0"/>
        <c:axPos val="l"/>
        <c:numFmt formatCode="_(\ #,##0.0000_);_(\ \(#,##0.000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87246495"/>
        <c:crosses val="autoZero"/>
        <c:crossBetween val="between"/>
      </c:valAx>
      <c:valAx>
        <c:axId val="1084541999"/>
        <c:scaling>
          <c:orientation val="minMax"/>
        </c:scaling>
        <c:delete val="0"/>
        <c:axPos val="r"/>
        <c:numFmt formatCode="_(\ #,##0.0000_);_(\ \(#,##0.000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84564559"/>
        <c:crosses val="max"/>
        <c:crossBetween val="between"/>
      </c:valAx>
      <c:catAx>
        <c:axId val="1084564559"/>
        <c:scaling>
          <c:orientation val="minMax"/>
        </c:scaling>
        <c:delete val="1"/>
        <c:axPos val="b"/>
        <c:numFmt formatCode="General" sourceLinked="1"/>
        <c:majorTickMark val="out"/>
        <c:minorTickMark val="none"/>
        <c:tickLblPos val="nextTo"/>
        <c:crossAx val="10845419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b="1"/>
              <a:t>Forecasted </a:t>
            </a:r>
            <a:r>
              <a:rPr lang="en-US" b="1"/>
              <a:t>USD/PHP</a:t>
            </a:r>
            <a:r>
              <a:rPr lang="vi-VN" b="1"/>
              <a:t> in 2025-2031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'USDPHP Forecasting'!$I$2</c:f>
              <c:strCache>
                <c:ptCount val="1"/>
                <c:pt idx="0">
                  <c:v>USD/PHP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'USDPHP Forecasting'!$A$48:$A$55</c:f>
              <c:strCache>
                <c:ptCount val="8"/>
                <c:pt idx="7">
                  <c:v>2031F</c:v>
                </c:pt>
              </c:strCache>
            </c:strRef>
          </c:cat>
          <c:val>
            <c:numRef>
              <c:f>'USDPHP Forecasting'!$B$48:$B$55</c:f>
              <c:numCache>
                <c:formatCode>General</c:formatCode>
                <c:ptCount val="8"/>
                <c:pt idx="7" formatCode="0.00">
                  <c:v>62.190733657742179</c:v>
                </c:pt>
              </c:numCache>
            </c:numRef>
          </c:val>
          <c:smooth val="0"/>
          <c:extLst>
            <c:ext xmlns:c16="http://schemas.microsoft.com/office/drawing/2014/chart" uri="{C3380CC4-5D6E-409C-BE32-E72D297353CC}">
              <c16:uniqueId val="{00000000-5320-445D-A54D-C3BDD70A73AA}"/>
            </c:ext>
          </c:extLst>
        </c:ser>
        <c:dLbls>
          <c:showLegendKey val="0"/>
          <c:showVal val="0"/>
          <c:showCatName val="0"/>
          <c:showSerName val="0"/>
          <c:showPercent val="0"/>
          <c:showBubbleSize val="0"/>
        </c:dLbls>
        <c:marker val="1"/>
        <c:smooth val="0"/>
        <c:axId val="958484704"/>
        <c:axId val="995779280"/>
      </c:lineChart>
      <c:catAx>
        <c:axId val="95848470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95779280"/>
        <c:crosses val="autoZero"/>
        <c:auto val="1"/>
        <c:lblAlgn val="ctr"/>
        <c:lblOffset val="100"/>
        <c:noMultiLvlLbl val="0"/>
      </c:catAx>
      <c:valAx>
        <c:axId val="995779280"/>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5848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sz="1200" b="1"/>
              <a:t>Market sizes of Snacks</a:t>
            </a:r>
            <a:r>
              <a:rPr lang="vi-VN" sz="1200" b="1" baseline="0"/>
              <a:t> market in Philipines by categories </a:t>
            </a:r>
          </a:p>
          <a:p>
            <a:pPr>
              <a:defRPr sz="1200" b="1"/>
            </a:pPr>
            <a:r>
              <a:rPr lang="vi-VN" sz="1200" b="1" baseline="0"/>
              <a:t>(PHP million)</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'Snack vs Baked Goods industry'!$C$30</c:f>
              <c:strCache>
                <c:ptCount val="1"/>
                <c:pt idx="0">
                  <c:v>2019</c:v>
                </c:pt>
              </c:strCache>
            </c:strRef>
          </c:tx>
          <c:spPr>
            <a:solidFill>
              <a:schemeClr val="accent1"/>
            </a:solidFill>
            <a:ln>
              <a:noFill/>
            </a:ln>
            <a:effectLst/>
          </c:spPr>
          <c:invertIfNegative val="0"/>
          <c:cat>
            <c:strRef>
              <c:f>'Snack vs Baked Goods industry'!$B$31:$B$36</c:f>
              <c:strCache>
                <c:ptCount val="6"/>
                <c:pt idx="0">
                  <c:v>Chocolate Confectionery</c:v>
                </c:pt>
                <c:pt idx="1">
                  <c:v>Gum</c:v>
                </c:pt>
                <c:pt idx="2">
                  <c:v>Sugar Confectionery</c:v>
                </c:pt>
                <c:pt idx="3">
                  <c:v>Ice Cream</c:v>
                </c:pt>
                <c:pt idx="4">
                  <c:v>Savoury Snacks</c:v>
                </c:pt>
                <c:pt idx="5">
                  <c:v>Sweet Biscuits, Snack Bars and Fruit Snacks</c:v>
                </c:pt>
              </c:strCache>
            </c:strRef>
          </c:cat>
          <c:val>
            <c:numRef>
              <c:f>'Snack vs Baked Goods industry'!$C$31:$C$36</c:f>
              <c:numCache>
                <c:formatCode>#,##0</c:formatCode>
                <c:ptCount val="6"/>
                <c:pt idx="0">
                  <c:v>21753.3</c:v>
                </c:pt>
                <c:pt idx="1">
                  <c:v>2304.4</c:v>
                </c:pt>
                <c:pt idx="2">
                  <c:v>17516.599999999999</c:v>
                </c:pt>
                <c:pt idx="3">
                  <c:v>21233.1</c:v>
                </c:pt>
                <c:pt idx="4">
                  <c:v>85760.4</c:v>
                </c:pt>
                <c:pt idx="5">
                  <c:v>38142.300000000003</c:v>
                </c:pt>
              </c:numCache>
            </c:numRef>
          </c:val>
          <c:extLst>
            <c:ext xmlns:c16="http://schemas.microsoft.com/office/drawing/2014/chart" uri="{C3380CC4-5D6E-409C-BE32-E72D297353CC}">
              <c16:uniqueId val="{00000000-850D-473D-AA62-495764F4D507}"/>
            </c:ext>
          </c:extLst>
        </c:ser>
        <c:ser>
          <c:idx val="1"/>
          <c:order val="1"/>
          <c:tx>
            <c:strRef>
              <c:f>'Snack vs Baked Goods industry'!$D$30</c:f>
              <c:strCache>
                <c:ptCount val="1"/>
                <c:pt idx="0">
                  <c:v>2020</c:v>
                </c:pt>
              </c:strCache>
            </c:strRef>
          </c:tx>
          <c:spPr>
            <a:solidFill>
              <a:schemeClr val="accent2"/>
            </a:solidFill>
            <a:ln>
              <a:noFill/>
            </a:ln>
            <a:effectLst/>
          </c:spPr>
          <c:invertIfNegative val="0"/>
          <c:cat>
            <c:strRef>
              <c:f>'Snack vs Baked Goods industry'!$B$31:$B$36</c:f>
              <c:strCache>
                <c:ptCount val="6"/>
                <c:pt idx="0">
                  <c:v>Chocolate Confectionery</c:v>
                </c:pt>
                <c:pt idx="1">
                  <c:v>Gum</c:v>
                </c:pt>
                <c:pt idx="2">
                  <c:v>Sugar Confectionery</c:v>
                </c:pt>
                <c:pt idx="3">
                  <c:v>Ice Cream</c:v>
                </c:pt>
                <c:pt idx="4">
                  <c:v>Savoury Snacks</c:v>
                </c:pt>
                <c:pt idx="5">
                  <c:v>Sweet Biscuits, Snack Bars and Fruit Snacks</c:v>
                </c:pt>
              </c:strCache>
            </c:strRef>
          </c:cat>
          <c:val>
            <c:numRef>
              <c:f>'Snack vs Baked Goods industry'!$D$31:$D$36</c:f>
              <c:numCache>
                <c:formatCode>#,##0</c:formatCode>
                <c:ptCount val="6"/>
                <c:pt idx="0">
                  <c:v>22000.799999999999</c:v>
                </c:pt>
                <c:pt idx="1">
                  <c:v>1836.8</c:v>
                </c:pt>
                <c:pt idx="2">
                  <c:v>15231.6</c:v>
                </c:pt>
                <c:pt idx="3">
                  <c:v>19275</c:v>
                </c:pt>
                <c:pt idx="4">
                  <c:v>88341.7</c:v>
                </c:pt>
                <c:pt idx="5">
                  <c:v>39770.6</c:v>
                </c:pt>
              </c:numCache>
            </c:numRef>
          </c:val>
          <c:extLst>
            <c:ext xmlns:c16="http://schemas.microsoft.com/office/drawing/2014/chart" uri="{C3380CC4-5D6E-409C-BE32-E72D297353CC}">
              <c16:uniqueId val="{00000001-850D-473D-AA62-495764F4D507}"/>
            </c:ext>
          </c:extLst>
        </c:ser>
        <c:ser>
          <c:idx val="2"/>
          <c:order val="2"/>
          <c:tx>
            <c:strRef>
              <c:f>'Snack vs Baked Goods industry'!$E$30</c:f>
              <c:strCache>
                <c:ptCount val="1"/>
                <c:pt idx="0">
                  <c:v>2021</c:v>
                </c:pt>
              </c:strCache>
            </c:strRef>
          </c:tx>
          <c:spPr>
            <a:solidFill>
              <a:schemeClr val="accent3"/>
            </a:solidFill>
            <a:ln>
              <a:noFill/>
            </a:ln>
            <a:effectLst/>
          </c:spPr>
          <c:invertIfNegative val="0"/>
          <c:cat>
            <c:strRef>
              <c:f>'Snack vs Baked Goods industry'!$B$31:$B$36</c:f>
              <c:strCache>
                <c:ptCount val="6"/>
                <c:pt idx="0">
                  <c:v>Chocolate Confectionery</c:v>
                </c:pt>
                <c:pt idx="1">
                  <c:v>Gum</c:v>
                </c:pt>
                <c:pt idx="2">
                  <c:v>Sugar Confectionery</c:v>
                </c:pt>
                <c:pt idx="3">
                  <c:v>Ice Cream</c:v>
                </c:pt>
                <c:pt idx="4">
                  <c:v>Savoury Snacks</c:v>
                </c:pt>
                <c:pt idx="5">
                  <c:v>Sweet Biscuits, Snack Bars and Fruit Snacks</c:v>
                </c:pt>
              </c:strCache>
            </c:strRef>
          </c:cat>
          <c:val>
            <c:numRef>
              <c:f>'Snack vs Baked Goods industry'!$E$31:$E$36</c:f>
              <c:numCache>
                <c:formatCode>#,##0</c:formatCode>
                <c:ptCount val="6"/>
                <c:pt idx="0">
                  <c:v>22707.7</c:v>
                </c:pt>
                <c:pt idx="1">
                  <c:v>1600.1</c:v>
                </c:pt>
                <c:pt idx="2">
                  <c:v>15049</c:v>
                </c:pt>
                <c:pt idx="3">
                  <c:v>20194.2</c:v>
                </c:pt>
                <c:pt idx="4">
                  <c:v>89928.6</c:v>
                </c:pt>
                <c:pt idx="5">
                  <c:v>37650.6</c:v>
                </c:pt>
              </c:numCache>
            </c:numRef>
          </c:val>
          <c:extLst>
            <c:ext xmlns:c16="http://schemas.microsoft.com/office/drawing/2014/chart" uri="{C3380CC4-5D6E-409C-BE32-E72D297353CC}">
              <c16:uniqueId val="{00000002-850D-473D-AA62-495764F4D507}"/>
            </c:ext>
          </c:extLst>
        </c:ser>
        <c:ser>
          <c:idx val="3"/>
          <c:order val="3"/>
          <c:tx>
            <c:strRef>
              <c:f>'Snack vs Baked Goods industry'!$F$30</c:f>
              <c:strCache>
                <c:ptCount val="1"/>
                <c:pt idx="0">
                  <c:v>2022</c:v>
                </c:pt>
              </c:strCache>
            </c:strRef>
          </c:tx>
          <c:spPr>
            <a:solidFill>
              <a:schemeClr val="accent4"/>
            </a:solidFill>
            <a:ln>
              <a:noFill/>
            </a:ln>
            <a:effectLst/>
          </c:spPr>
          <c:invertIfNegative val="0"/>
          <c:cat>
            <c:strRef>
              <c:f>'Snack vs Baked Goods industry'!$B$31:$B$36</c:f>
              <c:strCache>
                <c:ptCount val="6"/>
                <c:pt idx="0">
                  <c:v>Chocolate Confectionery</c:v>
                </c:pt>
                <c:pt idx="1">
                  <c:v>Gum</c:v>
                </c:pt>
                <c:pt idx="2">
                  <c:v>Sugar Confectionery</c:v>
                </c:pt>
                <c:pt idx="3">
                  <c:v>Ice Cream</c:v>
                </c:pt>
                <c:pt idx="4">
                  <c:v>Savoury Snacks</c:v>
                </c:pt>
                <c:pt idx="5">
                  <c:v>Sweet Biscuits, Snack Bars and Fruit Snacks</c:v>
                </c:pt>
              </c:strCache>
            </c:strRef>
          </c:cat>
          <c:val>
            <c:numRef>
              <c:f>'Snack vs Baked Goods industry'!$F$31:$F$36</c:f>
              <c:numCache>
                <c:formatCode>#,##0</c:formatCode>
                <c:ptCount val="6"/>
                <c:pt idx="0">
                  <c:v>24487.200000000001</c:v>
                </c:pt>
                <c:pt idx="1">
                  <c:v>1573.1</c:v>
                </c:pt>
                <c:pt idx="2">
                  <c:v>16323.4</c:v>
                </c:pt>
                <c:pt idx="3">
                  <c:v>21550.7</c:v>
                </c:pt>
                <c:pt idx="4">
                  <c:v>97785.5</c:v>
                </c:pt>
                <c:pt idx="5">
                  <c:v>40703.199999999997</c:v>
                </c:pt>
              </c:numCache>
            </c:numRef>
          </c:val>
          <c:extLst>
            <c:ext xmlns:c16="http://schemas.microsoft.com/office/drawing/2014/chart" uri="{C3380CC4-5D6E-409C-BE32-E72D297353CC}">
              <c16:uniqueId val="{00000003-850D-473D-AA62-495764F4D507}"/>
            </c:ext>
          </c:extLst>
        </c:ser>
        <c:ser>
          <c:idx val="4"/>
          <c:order val="4"/>
          <c:tx>
            <c:strRef>
              <c:f>'Snack vs Baked Goods industry'!$G$30</c:f>
              <c:strCache>
                <c:ptCount val="1"/>
                <c:pt idx="0">
                  <c:v>2023</c:v>
                </c:pt>
              </c:strCache>
            </c:strRef>
          </c:tx>
          <c:spPr>
            <a:solidFill>
              <a:schemeClr val="accent5"/>
            </a:solidFill>
            <a:ln>
              <a:noFill/>
            </a:ln>
            <a:effectLst/>
          </c:spPr>
          <c:invertIfNegative val="0"/>
          <c:cat>
            <c:strRef>
              <c:f>'Snack vs Baked Goods industry'!$B$31:$B$36</c:f>
              <c:strCache>
                <c:ptCount val="6"/>
                <c:pt idx="0">
                  <c:v>Chocolate Confectionery</c:v>
                </c:pt>
                <c:pt idx="1">
                  <c:v>Gum</c:v>
                </c:pt>
                <c:pt idx="2">
                  <c:v>Sugar Confectionery</c:v>
                </c:pt>
                <c:pt idx="3">
                  <c:v>Ice Cream</c:v>
                </c:pt>
                <c:pt idx="4">
                  <c:v>Savoury Snacks</c:v>
                </c:pt>
                <c:pt idx="5">
                  <c:v>Sweet Biscuits, Snack Bars and Fruit Snacks</c:v>
                </c:pt>
              </c:strCache>
            </c:strRef>
          </c:cat>
          <c:val>
            <c:numRef>
              <c:f>'Snack vs Baked Goods industry'!$G$31:$G$36</c:f>
              <c:numCache>
                <c:formatCode>#,##0</c:formatCode>
                <c:ptCount val="6"/>
                <c:pt idx="0">
                  <c:v>25657.7</c:v>
                </c:pt>
                <c:pt idx="1">
                  <c:v>1565.3</c:v>
                </c:pt>
                <c:pt idx="2">
                  <c:v>16873.099999999999</c:v>
                </c:pt>
                <c:pt idx="3">
                  <c:v>22771.9</c:v>
                </c:pt>
                <c:pt idx="4">
                  <c:v>102815.7</c:v>
                </c:pt>
                <c:pt idx="5">
                  <c:v>42920.4</c:v>
                </c:pt>
              </c:numCache>
            </c:numRef>
          </c:val>
          <c:extLst>
            <c:ext xmlns:c16="http://schemas.microsoft.com/office/drawing/2014/chart" uri="{C3380CC4-5D6E-409C-BE32-E72D297353CC}">
              <c16:uniqueId val="{00000004-850D-473D-AA62-495764F4D507}"/>
            </c:ext>
          </c:extLst>
        </c:ser>
        <c:ser>
          <c:idx val="5"/>
          <c:order val="5"/>
          <c:tx>
            <c:strRef>
              <c:f>'Snack vs Baked Goods industry'!$H$30</c:f>
              <c:strCache>
                <c:ptCount val="1"/>
                <c:pt idx="0">
                  <c:v>2024</c:v>
                </c:pt>
              </c:strCache>
            </c:strRef>
          </c:tx>
          <c:spPr>
            <a:solidFill>
              <a:schemeClr val="accent6"/>
            </a:solidFill>
            <a:ln>
              <a:noFill/>
            </a:ln>
            <a:effectLst/>
          </c:spPr>
          <c:invertIfNegative val="0"/>
          <c:cat>
            <c:strRef>
              <c:f>'Snack vs Baked Goods industry'!$B$31:$B$36</c:f>
              <c:strCache>
                <c:ptCount val="6"/>
                <c:pt idx="0">
                  <c:v>Chocolate Confectionery</c:v>
                </c:pt>
                <c:pt idx="1">
                  <c:v>Gum</c:v>
                </c:pt>
                <c:pt idx="2">
                  <c:v>Sugar Confectionery</c:v>
                </c:pt>
                <c:pt idx="3">
                  <c:v>Ice Cream</c:v>
                </c:pt>
                <c:pt idx="4">
                  <c:v>Savoury Snacks</c:v>
                </c:pt>
                <c:pt idx="5">
                  <c:v>Sweet Biscuits, Snack Bars and Fruit Snacks</c:v>
                </c:pt>
              </c:strCache>
            </c:strRef>
          </c:cat>
          <c:val>
            <c:numRef>
              <c:f>'Snack vs Baked Goods industry'!$H$31:$H$36</c:f>
              <c:numCache>
                <c:formatCode>#,##0</c:formatCode>
                <c:ptCount val="6"/>
                <c:pt idx="0">
                  <c:v>26913</c:v>
                </c:pt>
                <c:pt idx="1">
                  <c:v>1582.2</c:v>
                </c:pt>
                <c:pt idx="2">
                  <c:v>17564</c:v>
                </c:pt>
                <c:pt idx="3">
                  <c:v>24057.200000000001</c:v>
                </c:pt>
                <c:pt idx="4">
                  <c:v>109798.7</c:v>
                </c:pt>
                <c:pt idx="5">
                  <c:v>44003.3</c:v>
                </c:pt>
              </c:numCache>
            </c:numRef>
          </c:val>
          <c:extLst>
            <c:ext xmlns:c16="http://schemas.microsoft.com/office/drawing/2014/chart" uri="{C3380CC4-5D6E-409C-BE32-E72D297353CC}">
              <c16:uniqueId val="{00000005-850D-473D-AA62-495764F4D507}"/>
            </c:ext>
          </c:extLst>
        </c:ser>
        <c:dLbls>
          <c:showLegendKey val="0"/>
          <c:showVal val="0"/>
          <c:showCatName val="0"/>
          <c:showSerName val="0"/>
          <c:showPercent val="0"/>
          <c:showBubbleSize val="0"/>
        </c:dLbls>
        <c:gapWidth val="182"/>
        <c:axId val="757428031"/>
        <c:axId val="376563615"/>
      </c:barChart>
      <c:catAx>
        <c:axId val="757428031"/>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76563615"/>
        <c:crosses val="autoZero"/>
        <c:auto val="1"/>
        <c:lblAlgn val="ctr"/>
        <c:lblOffset val="100"/>
        <c:noMultiLvlLbl val="0"/>
      </c:catAx>
      <c:valAx>
        <c:axId val="376563615"/>
        <c:scaling>
          <c:orientation val="minMax"/>
          <c:max val="110000"/>
          <c:min val="0"/>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57428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'Snack vs Baked Goods industry'!$B$7</c:f>
              <c:strCache>
                <c:ptCount val="1"/>
                <c:pt idx="0">
                  <c:v>Snacks (PHP million) (LHS)</c:v>
                </c:pt>
              </c:strCache>
            </c:strRef>
          </c:tx>
          <c:spPr>
            <a:solidFill>
              <a:schemeClr val="accent1"/>
            </a:solidFill>
            <a:ln>
              <a:noFill/>
            </a:ln>
            <a:effectLst/>
          </c:spPr>
          <c:invertIfNegative val="0"/>
          <c:cat>
            <c:strRef>
              <c:f>'Snack vs Baked Goods industry'!$C$6:$H$6</c:f>
              <c:strCache>
                <c:ptCount val="6"/>
                <c:pt idx="0">
                  <c:v>2019</c:v>
                </c:pt>
                <c:pt idx="1">
                  <c:v>2020</c:v>
                </c:pt>
                <c:pt idx="2">
                  <c:v>2021</c:v>
                </c:pt>
                <c:pt idx="3">
                  <c:v>2022</c:v>
                </c:pt>
                <c:pt idx="4">
                  <c:v>2023</c:v>
                </c:pt>
                <c:pt idx="5">
                  <c:v>2024</c:v>
                </c:pt>
              </c:strCache>
            </c:strRef>
          </c:cat>
          <c:val>
            <c:numRef>
              <c:f>'Snack vs Baked Goods industry'!$C$7:$H$7</c:f>
              <c:numCache>
                <c:formatCode>_(* #,##0_);_(* \(#,##0\);_(* "-"??_);_(@_)</c:formatCode>
                <c:ptCount val="6"/>
                <c:pt idx="0">
                  <c:v>186710.1</c:v>
                </c:pt>
                <c:pt idx="1">
                  <c:v>186456.5</c:v>
                </c:pt>
                <c:pt idx="2">
                  <c:v>187130.1</c:v>
                </c:pt>
                <c:pt idx="3">
                  <c:v>202423.1</c:v>
                </c:pt>
                <c:pt idx="4">
                  <c:v>212604.2</c:v>
                </c:pt>
                <c:pt idx="5">
                  <c:v>223918.4</c:v>
                </c:pt>
              </c:numCache>
            </c:numRef>
          </c:val>
          <c:extLst>
            <c:ext xmlns:c16="http://schemas.microsoft.com/office/drawing/2014/chart" uri="{C3380CC4-5D6E-409C-BE32-E72D297353CC}">
              <c16:uniqueId val="{00000000-F069-45A3-B0DF-1615DE37060C}"/>
            </c:ext>
          </c:extLst>
        </c:ser>
        <c:ser>
          <c:idx val="1"/>
          <c:order val="1"/>
          <c:tx>
            <c:strRef>
              <c:f>'Snack vs Baked Goods industry'!$B$8</c:f>
              <c:strCache>
                <c:ptCount val="1"/>
                <c:pt idx="0">
                  <c:v>Backed goods (PHP million) (RHS)</c:v>
                </c:pt>
              </c:strCache>
            </c:strRef>
          </c:tx>
          <c:spPr>
            <a:solidFill>
              <a:schemeClr val="accent2"/>
            </a:solidFill>
            <a:ln>
              <a:noFill/>
            </a:ln>
            <a:effectLst/>
          </c:spPr>
          <c:invertIfNegative val="0"/>
          <c:cat>
            <c:strRef>
              <c:f>'Snack vs Baked Goods industry'!$C$6:$H$6</c:f>
              <c:strCache>
                <c:ptCount val="6"/>
                <c:pt idx="0">
                  <c:v>2019</c:v>
                </c:pt>
                <c:pt idx="1">
                  <c:v>2020</c:v>
                </c:pt>
                <c:pt idx="2">
                  <c:v>2021</c:v>
                </c:pt>
                <c:pt idx="3">
                  <c:v>2022</c:v>
                </c:pt>
                <c:pt idx="4">
                  <c:v>2023</c:v>
                </c:pt>
                <c:pt idx="5">
                  <c:v>2024</c:v>
                </c:pt>
              </c:strCache>
            </c:strRef>
          </c:cat>
          <c:val>
            <c:numRef>
              <c:f>'Snack vs Baked Goods industry'!$C$8:$H$8</c:f>
              <c:numCache>
                <c:formatCode>#,##0.0</c:formatCode>
                <c:ptCount val="6"/>
                <c:pt idx="0">
                  <c:v>52871.1</c:v>
                </c:pt>
                <c:pt idx="1">
                  <c:v>55244</c:v>
                </c:pt>
                <c:pt idx="2">
                  <c:v>55292.2</c:v>
                </c:pt>
                <c:pt idx="3">
                  <c:v>59077.4</c:v>
                </c:pt>
                <c:pt idx="4">
                  <c:v>66105.899999999994</c:v>
                </c:pt>
                <c:pt idx="5">
                  <c:v>70578.899999999994</c:v>
                </c:pt>
              </c:numCache>
            </c:numRef>
          </c:val>
          <c:extLst>
            <c:ext xmlns:c16="http://schemas.microsoft.com/office/drawing/2014/chart" uri="{C3380CC4-5D6E-409C-BE32-E72D297353CC}">
              <c16:uniqueId val="{00000001-F069-45A3-B0DF-1615DE37060C}"/>
            </c:ext>
          </c:extLst>
        </c:ser>
        <c:dLbls>
          <c:showLegendKey val="0"/>
          <c:showVal val="0"/>
          <c:showCatName val="0"/>
          <c:showSerName val="0"/>
          <c:showPercent val="0"/>
          <c:showBubbleSize val="0"/>
        </c:dLbls>
        <c:gapWidth val="150"/>
        <c:axId val="760712767"/>
        <c:axId val="866376271"/>
      </c:barChart>
      <c:catAx>
        <c:axId val="760712767"/>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66376271"/>
        <c:crosses val="autoZero"/>
        <c:auto val="1"/>
        <c:lblAlgn val="ctr"/>
        <c:lblOffset val="100"/>
        <c:noMultiLvlLbl val="0"/>
      </c:catAx>
      <c:valAx>
        <c:axId val="866376271"/>
        <c:scaling>
          <c:orientation val="minMax"/>
          <c:max val="225000"/>
          <c:min val="50000"/>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6071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b="1"/>
              <a:t>Overall Snacks market size in Philipines (PHP million)</a:t>
            </a:r>
            <a:endParaRPr lang="en-US" b="1"/>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1"/>
          <c:order val="1"/>
          <c:tx>
            <c:strRef>
              <c:f>'Snack vs Baked Goods industry'!$B$8</c:f>
              <c:strCache>
                <c:ptCount val="1"/>
                <c:pt idx="0">
                  <c:v>Backed goods (PHP million) (RHS)</c:v>
                </c:pt>
              </c:strCache>
            </c:strRef>
          </c:tx>
          <c:spPr>
            <a:solidFill>
              <a:schemeClr val="accent2"/>
            </a:solidFill>
            <a:ln>
              <a:noFill/>
            </a:ln>
            <a:effectLst/>
          </c:spPr>
          <c:invertIfNegative val="0"/>
          <c:cat>
            <c:strRef>
              <c:f>'Snack vs Baked Goods industry'!$C$6:$H$6</c:f>
              <c:strCache>
                <c:ptCount val="6"/>
                <c:pt idx="0">
                  <c:v>2019</c:v>
                </c:pt>
                <c:pt idx="1">
                  <c:v>2020</c:v>
                </c:pt>
                <c:pt idx="2">
                  <c:v>2021</c:v>
                </c:pt>
                <c:pt idx="3">
                  <c:v>2022</c:v>
                </c:pt>
                <c:pt idx="4">
                  <c:v>2023</c:v>
                </c:pt>
                <c:pt idx="5">
                  <c:v>2024</c:v>
                </c:pt>
              </c:strCache>
            </c:strRef>
          </c:cat>
          <c:val>
            <c:numRef>
              <c:f>'Snack vs Baked Goods industry'!$C$8:$H$8</c:f>
              <c:numCache>
                <c:formatCode>#,##0.0</c:formatCode>
                <c:ptCount val="6"/>
                <c:pt idx="0">
                  <c:v>52871.1</c:v>
                </c:pt>
                <c:pt idx="1">
                  <c:v>55244</c:v>
                </c:pt>
                <c:pt idx="2">
                  <c:v>55292.2</c:v>
                </c:pt>
                <c:pt idx="3">
                  <c:v>59077.4</c:v>
                </c:pt>
                <c:pt idx="4">
                  <c:v>66105.899999999994</c:v>
                </c:pt>
                <c:pt idx="5">
                  <c:v>70578.899999999994</c:v>
                </c:pt>
              </c:numCache>
            </c:numRef>
          </c:val>
          <c:extLst>
            <c:ext xmlns:c16="http://schemas.microsoft.com/office/drawing/2014/chart" uri="{C3380CC4-5D6E-409C-BE32-E72D297353CC}">
              <c16:uniqueId val="{00000001-570F-4C84-837A-EC2BD85B2A42}"/>
            </c:ext>
          </c:extLst>
        </c:ser>
        <c:dLbls>
          <c:showLegendKey val="0"/>
          <c:showVal val="0"/>
          <c:showCatName val="0"/>
          <c:showSerName val="0"/>
          <c:showPercent val="0"/>
          <c:showBubbleSize val="0"/>
        </c:dLbls>
        <c:gapWidth val="150"/>
        <c:axId val="760712767"/>
        <c:axId val="866376271"/>
        <c:extLst>
          <c:ext xmlns:c15="http://schemas.microsoft.com/office/drawing/2012/chart" uri="{02D57815-91ED-43cb-92C2-25804820EDAC}">
            <c15:filteredBarSeries>
              <c15:ser>
                <c:idx val="0"/>
                <c:order val="0"/>
                <c:tx>
                  <c:strRef>
                    <c:extLst>
                      <c:ext uri="{02D57815-91ED-43cb-92C2-25804820EDAC}">
                        <c15:formulaRef>
                          <c15:sqref>'Snack vs Baked Goods industry'!$B$7</c15:sqref>
                        </c15:formulaRef>
                      </c:ext>
                    </c:extLst>
                    <c:strCache>
                      <c:ptCount val="1"/>
                      <c:pt idx="0">
                        <c:v>Snacks (PHP million) (LHS)</c:v>
                      </c:pt>
                    </c:strCache>
                  </c:strRef>
                </c:tx>
                <c:spPr>
                  <a:solidFill>
                    <a:schemeClr val="accent1"/>
                  </a:solidFill>
                  <a:ln>
                    <a:noFill/>
                  </a:ln>
                  <a:effectLst/>
                </c:spPr>
                <c:invertIfNegative val="0"/>
                <c:cat>
                  <c:strRef>
                    <c:extLst>
                      <c:ext uri="{02D57815-91ED-43cb-92C2-25804820EDAC}">
                        <c15:formulaRef>
                          <c15:sqref>'Snack vs Baked Goods industry'!$C$6:$H$6</c15:sqref>
                        </c15:formulaRef>
                      </c:ext>
                    </c:extLst>
                    <c:strCache>
                      <c:ptCount val="6"/>
                      <c:pt idx="0">
                        <c:v>2019</c:v>
                      </c:pt>
                      <c:pt idx="1">
                        <c:v>2020</c:v>
                      </c:pt>
                      <c:pt idx="2">
                        <c:v>2021</c:v>
                      </c:pt>
                      <c:pt idx="3">
                        <c:v>2022</c:v>
                      </c:pt>
                      <c:pt idx="4">
                        <c:v>2023</c:v>
                      </c:pt>
                      <c:pt idx="5">
                        <c:v>2024</c:v>
                      </c:pt>
                    </c:strCache>
                  </c:strRef>
                </c:cat>
                <c:val>
                  <c:numRef>
                    <c:extLst>
                      <c:ext uri="{02D57815-91ED-43cb-92C2-25804820EDAC}">
                        <c15:formulaRef>
                          <c15:sqref>'Snack vs Baked Goods industry'!$C$7:$H$7</c15:sqref>
                        </c15:formulaRef>
                      </c:ext>
                    </c:extLst>
                    <c:numCache>
                      <c:formatCode>_(* #,##0_);_(* \(#,##0\);_(* "-"??_);_(@_)</c:formatCode>
                      <c:ptCount val="6"/>
                      <c:pt idx="0">
                        <c:v>186710.1</c:v>
                      </c:pt>
                      <c:pt idx="1">
                        <c:v>186456.5</c:v>
                      </c:pt>
                      <c:pt idx="2">
                        <c:v>187130.1</c:v>
                      </c:pt>
                      <c:pt idx="3">
                        <c:v>202423.1</c:v>
                      </c:pt>
                      <c:pt idx="4">
                        <c:v>212604.2</c:v>
                      </c:pt>
                      <c:pt idx="5">
                        <c:v>223918.4</c:v>
                      </c:pt>
                    </c:numCache>
                  </c:numRef>
                </c:val>
                <c:extLst>
                  <c:ext xmlns:c16="http://schemas.microsoft.com/office/drawing/2014/chart" uri="{C3380CC4-5D6E-409C-BE32-E72D297353CC}">
                    <c16:uniqueId val="{00000000-570F-4C84-837A-EC2BD85B2A42}"/>
                  </c:ext>
                </c:extLst>
              </c15:ser>
            </c15:filteredBarSeries>
          </c:ext>
        </c:extLst>
      </c:barChart>
      <c:catAx>
        <c:axId val="760712767"/>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66376271"/>
        <c:crosses val="autoZero"/>
        <c:auto val="1"/>
        <c:lblAlgn val="ctr"/>
        <c:lblOffset val="100"/>
        <c:noMultiLvlLbl val="0"/>
      </c:catAx>
      <c:valAx>
        <c:axId val="866376271"/>
        <c:scaling>
          <c:orientation val="minMax"/>
          <c:max val="80000"/>
          <c:min val="10000"/>
        </c:scaling>
        <c:delete val="0"/>
        <c:axPos val="l"/>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6071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[1]FCFE!$A$48</c:f>
              <c:strCache>
                <c:ptCount val="1"/>
                <c:pt idx="0">
                  <c:v>COST BREAKDOWN</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[1]FCFE!$B$47:$K$47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[1]FCFE!$B$48:$K$48</c:f>
              <c:numCache>
                <c:formatCode>General</c:formatCode>
                <c:ptCount val="10"/>
                <c:pt idx="0">
                  <c:v>42378.753979909998</c:v>
                </c:pt>
                <c:pt idx="1">
                  <c:v>45758.074290750003</c:v>
                </c:pt>
                <c:pt idx="2">
                  <c:v>34956.943557933002</c:v>
                </c:pt>
                <c:pt idx="3">
                  <c:v>50241.584443779007</c:v>
                </c:pt>
                <c:pt idx="4">
                  <c:v>51354.195901306994</c:v>
                </c:pt>
                <c:pt idx="5">
                  <c:v>49067.986032907793</c:v>
                </c:pt>
                <c:pt idx="6">
                  <c:v>49745.939876931443</c:v>
                </c:pt>
                <c:pt idx="7">
                  <c:v>50665.151857869918</c:v>
                </c:pt>
                <c:pt idx="8">
                  <c:v>51284.803720800359</c:v>
                </c:pt>
                <c:pt idx="9">
                  <c:v>51937.319563267723</c:v>
                </c:pt>
              </c:numCache>
            </c:numRef>
          </c:val>
          <c:extLst>
            <c:ext xmlns:c16="http://schemas.microsoft.com/office/drawing/2014/chart" uri="{C3380CC4-5D6E-409C-BE32-E72D297353CC}">
              <c16:uniqueId val="{00000000-87B1-4004-985A-C8B9776A17DD}"/>
            </c:ext>
          </c:extLst>
        </c:ser>
        <c:dLbls>
          <c:showLegendKey val="0"/>
          <c:showVal val="0"/>
          <c:showCatName val="0"/>
          <c:showSerName val="0"/>
          <c:showPercent val="0"/>
          <c:showBubbleSize val="0"/>
        </c:dLbls>
        <c:gapWidth val="100"/>
        <c:overlap val="-24"/>
        <c:axId val="1223745711"/>
        <c:axId val="1601731487"/>
      </c:barChart>
      <c:catAx>
        <c:axId val="12237457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01731487"/>
        <c:crosses val="autoZero"/>
        <c:auto val="1"/>
        <c:lblAlgn val="ctr"/>
        <c:lblOffset val="100"/>
        <c:noMultiLvlLbl val="0"/>
      </c:catAx>
      <c:valAx>
        <c:axId val="1601731487"/>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3745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b="1"/>
              <a:t>Sweet and Savoury Biscuits sales growth in Philipines </a:t>
            </a:r>
          </a:p>
          <a:p>
            <a:pPr>
              <a:defRPr b="1"/>
            </a:pPr>
            <a:r>
              <a:rPr lang="vi-VN" b="1"/>
              <a:t>(PHP million) </a:t>
            </a:r>
            <a:r>
              <a:rPr lang="en-US" b="1"/>
              <a:t>and</a:t>
            </a:r>
            <a:r>
              <a:rPr lang="en-US" b="1" baseline="0"/>
              <a:t> Income per capita (thousand $US)</a:t>
            </a:r>
            <a:endParaRPr lang="en-US" b="1"/>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'Sweet biscuit'!$A$3</c:f>
              <c:strCache>
                <c:ptCount val="1"/>
                <c:pt idx="0">
                  <c:v>Sweet Biscuit (LHS)</c:v>
                </c:pt>
              </c:strCache>
            </c:strRef>
          </c:tx>
          <c:spPr>
            <a:solidFill>
              <a:schemeClr val="accent1"/>
            </a:solidFill>
            <a:ln>
              <a:noFill/>
            </a:ln>
            <a:effectLst/>
          </c:spPr>
          <c:invertIfNegative val="0"/>
          <c:cat>
            <c:numRef>
              <c:f>'Sweet biscuit'!$B$2:$G$2</c:f>
              <c:numCache>
                <c:formatCode>General</c:formatCode>
                <c:ptCount val="6"/>
                <c:pt idx="0">
                  <c:v>2019</c:v>
                </c:pt>
                <c:pt idx="1">
                  <c:v>2020</c:v>
                </c:pt>
                <c:pt idx="2">
                  <c:v>2021</c:v>
                </c:pt>
                <c:pt idx="3">
                  <c:v>2022</c:v>
                </c:pt>
                <c:pt idx="4">
                  <c:v>2023</c:v>
                </c:pt>
                <c:pt idx="5">
                  <c:v>2024</c:v>
                </c:pt>
              </c:numCache>
            </c:numRef>
          </c:cat>
          <c:val>
            <c:numRef>
              <c:f>'Sweet biscuit'!$B$3:$G$3</c:f>
              <c:numCache>
                <c:formatCode>_(* #,##0_);_(* \(#,##0\);_(* "-"??_);_(@_)</c:formatCode>
                <c:ptCount val="6"/>
                <c:pt idx="0">
                  <c:v>36561</c:v>
                </c:pt>
                <c:pt idx="1">
                  <c:v>36102.5</c:v>
                </c:pt>
                <c:pt idx="2">
                  <c:v>38241.300000000003</c:v>
                </c:pt>
                <c:pt idx="3">
                  <c:v>39134.9</c:v>
                </c:pt>
                <c:pt idx="4">
                  <c:v>41302.5</c:v>
                </c:pt>
                <c:pt idx="5">
                  <c:v>42275.199999999997</c:v>
                </c:pt>
              </c:numCache>
            </c:numRef>
          </c:val>
          <c:extLst>
            <c:ext xmlns:c16="http://schemas.microsoft.com/office/drawing/2014/chart" uri="{C3380CC4-5D6E-409C-BE32-E72D297353CC}">
              <c16:uniqueId val="{00000000-EA1D-44B0-95F7-38493F872A42}"/>
            </c:ext>
          </c:extLst>
        </c:ser>
        <c:ser>
          <c:idx val="1"/>
          <c:order val="1"/>
          <c:tx>
            <c:strRef>
              <c:f>'Sweet biscuit'!$A$4</c:f>
              <c:strCache>
                <c:ptCount val="1"/>
                <c:pt idx="0">
                  <c:v>Savoury Biscuit (LHS)</c:v>
                </c:pt>
              </c:strCache>
            </c:strRef>
          </c:tx>
          <c:spPr>
            <a:solidFill>
              <a:schemeClr val="accent2"/>
            </a:solidFill>
            <a:ln>
              <a:noFill/>
            </a:ln>
            <a:effectLst/>
          </c:spPr>
          <c:invertIfNegative val="0"/>
          <c:cat>
            <c:numRef>
              <c:f>'Sweet biscuit'!$B$2:$G$2</c:f>
              <c:numCache>
                <c:formatCode>General</c:formatCode>
                <c:ptCount val="6"/>
                <c:pt idx="0">
                  <c:v>2019</c:v>
                </c:pt>
                <c:pt idx="1">
                  <c:v>2020</c:v>
                </c:pt>
                <c:pt idx="2">
                  <c:v>2021</c:v>
                </c:pt>
                <c:pt idx="3">
                  <c:v>2022</c:v>
                </c:pt>
                <c:pt idx="4">
                  <c:v>2023</c:v>
                </c:pt>
                <c:pt idx="5">
                  <c:v>2024</c:v>
                </c:pt>
              </c:numCache>
            </c:numRef>
          </c:cat>
          <c:val>
            <c:numRef>
              <c:f>'Sweet biscuit'!$B$4:$G$4</c:f>
              <c:numCache>
                <c:formatCode>_(* #,##0_);_(* \(#,##0\);_(* "-"??_);_(@_)</c:formatCode>
                <c:ptCount val="6"/>
                <c:pt idx="0">
                  <c:v>22010</c:v>
                </c:pt>
                <c:pt idx="1">
                  <c:v>22936</c:v>
                </c:pt>
                <c:pt idx="2">
                  <c:v>21823.599999999999</c:v>
                </c:pt>
                <c:pt idx="3">
                  <c:v>24138.2</c:v>
                </c:pt>
                <c:pt idx="4">
                  <c:v>25743.9</c:v>
                </c:pt>
                <c:pt idx="5">
                  <c:v>26600.1</c:v>
                </c:pt>
              </c:numCache>
            </c:numRef>
          </c:val>
          <c:extLst>
            <c:ext xmlns:c16="http://schemas.microsoft.com/office/drawing/2014/chart" uri="{C3380CC4-5D6E-409C-BE32-E72D297353CC}">
              <c16:uniqueId val="{00000001-EA1D-44B0-95F7-38493F872A42}"/>
            </c:ext>
          </c:extLst>
        </c:ser>
        <c:dLbls>
          <c:showLegendKey val="0"/>
          <c:showVal val="0"/>
          <c:showCatName val="0"/>
          <c:showSerName val="0"/>
          <c:showPercent val="0"/>
          <c:showBubbleSize val="0"/>
        </c:dLbls>
        <c:gapWidth val="219"/>
        <c:axId val="277750591"/>
        <c:axId val="783738095"/>
      </c:barChart>
      <c:lineChart>
        <c:grouping val="standard"/>
        <c:varyColors val="0"/>
        <c:ser>
          <c:idx val="2"/>
          <c:order val="2"/>
          <c:tx>
            <c:strRef>
              <c:f>'Sweet biscuit'!$A$5</c:f>
              <c:strCache>
                <c:ptCount val="1"/>
                <c:pt idx="0">
                  <c:v>Household Income per capita (RHS)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'Sweet biscuit'!$B$2:$G$2</c:f>
              <c:numCache>
                <c:formatCode>General</c:formatCode>
                <c:ptCount val="6"/>
                <c:pt idx="0">
                  <c:v>2019</c:v>
                </c:pt>
                <c:pt idx="1">
                  <c:v>2020</c:v>
                </c:pt>
                <c:pt idx="2">
                  <c:v>2021</c:v>
                </c:pt>
                <c:pt idx="3">
                  <c:v>2022</c:v>
                </c:pt>
                <c:pt idx="4">
                  <c:v>2023</c:v>
                </c:pt>
                <c:pt idx="5">
                  <c:v>2024</c:v>
                </c:pt>
              </c:numCache>
            </c:numRef>
          </c:cat>
          <c:val>
            <c:numRef>
              <c:f>'Sweet biscuit'!$B$5:$G$5</c:f>
              <c:numCache>
                <c:formatCode>0.00</c:formatCode>
                <c:ptCount val="6"/>
                <c:pt idx="0">
                  <c:v>3.19</c:v>
                </c:pt>
                <c:pt idx="1">
                  <c:v>3.15</c:v>
                </c:pt>
                <c:pt idx="2">
                  <c:v>3.39</c:v>
                </c:pt>
                <c:pt idx="3">
                  <c:v>3.4</c:v>
                </c:pt>
                <c:pt idx="4">
                  <c:v>3.62</c:v>
                </c:pt>
                <c:pt idx="5">
                  <c:v>3.89</c:v>
                </c:pt>
              </c:numCache>
            </c:numRef>
          </c:val>
          <c:smooth val="0"/>
          <c:extLst>
            <c:ext xmlns:c16="http://schemas.microsoft.com/office/drawing/2014/chart" uri="{C3380CC4-5D6E-409C-BE32-E72D297353CC}">
              <c16:uniqueId val="{00000001-7FB5-45C5-99AB-B18A8AB89443}"/>
            </c:ext>
          </c:extLst>
        </c:ser>
        <c:dLbls>
          <c:showLegendKey val="0"/>
          <c:showVal val="0"/>
          <c:showCatName val="0"/>
          <c:showSerName val="0"/>
          <c:showPercent val="0"/>
          <c:showBubbleSize val="0"/>
        </c:dLbls>
        <c:marker val="1"/>
        <c:smooth val="0"/>
        <c:axId val="864219392"/>
        <c:axId val="864205664"/>
      </c:lineChart>
      <c:catAx>
        <c:axId val="277750591"/>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83738095"/>
        <c:crosses val="autoZero"/>
        <c:auto val="1"/>
        <c:lblAlgn val="ctr"/>
        <c:lblOffset val="100"/>
        <c:noMultiLvlLbl val="0"/>
      </c:catAx>
      <c:valAx>
        <c:axId val="783738095"/>
        <c:scaling>
          <c:orientation val="minMax"/>
          <c:max val="42500"/>
          <c:min val="0"/>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77750591"/>
        <c:crosses val="autoZero"/>
        <c:crossBetween val="between"/>
      </c:valAx>
      <c:valAx>
        <c:axId val="864205664"/>
        <c:scaling>
          <c:orientation val="minMax"/>
          <c:min val="1"/>
        </c:scaling>
        <c:delete val="0"/>
        <c:axPos val="r"/>
        <c:numFmt formatCode="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64219392"/>
        <c:crosses val="max"/>
        <c:crossBetween val="between"/>
      </c:valAx>
      <c:catAx>
        <c:axId val="864219392"/>
        <c:scaling>
          <c:orientation val="minMax"/>
        </c:scaling>
        <c:delete val="1"/>
        <c:axPos val="b"/>
        <c:numFmt formatCode="General" sourceLinked="1"/>
        <c:majorTickMark val="out"/>
        <c:minorTickMark val="none"/>
        <c:tickLblPos val="nextTo"/>
        <c:crossAx val="864205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a:t>Forecasted Mooncake Volume (PHP)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gradFill>
              <a:gsLst>
                <a:gs pos="100000">
                  <a:schemeClr val="accent1">
                    <a:lumMod val="5000"/>
                    <a:lumOff val="95000"/>
                  </a:schemeClr>
                </a:gs>
                <a:gs pos="0">
                  <a:schemeClr val="accent1"/>
                </a:gs>
              </a:gsLst>
              <a:lin ang="5400000" scaled="1"/>
            </a:gradFill>
            <a:ln>
              <a:noFill/>
            </a:ln>
            <a:effectLst/>
          </c:spPr>
          <c:invertIfNegative val="0"/>
          <c:cat>
            <c:numRef>
              <c:f>Mooncake!$F$11:$L$11</c:f>
              <c:numCache>
                <c:formatCode>General</c:formatCode>
                <c:ptCount val="7"/>
                <c:pt idx="0">
                  <c:v>2025</c:v>
                </c:pt>
                <c:pt idx="1">
                  <c:v>2026</c:v>
                </c:pt>
                <c:pt idx="2">
                  <c:v>2027</c:v>
                </c:pt>
                <c:pt idx="3">
                  <c:v>2028</c:v>
                </c:pt>
                <c:pt idx="4">
                  <c:v>2029</c:v>
                </c:pt>
                <c:pt idx="5">
                  <c:v>2030</c:v>
                </c:pt>
                <c:pt idx="6">
                  <c:v>2031</c:v>
                </c:pt>
              </c:numCache>
            </c:numRef>
          </c:cat>
          <c:val>
            <c:numRef>
              <c:f>Mooncake!$F$12:$L$12</c:f>
              <c:numCache>
                <c:formatCode>General</c:formatCode>
                <c:ptCount val="7"/>
                <c:pt idx="0">
                  <c:v>402000</c:v>
                </c:pt>
                <c:pt idx="1">
                  <c:v>418435.6079608858</c:v>
                </c:pt>
                <c:pt idx="2">
                  <c:v>438210.88838744041</c:v>
                </c:pt>
                <c:pt idx="3">
                  <c:v>462359.79535076686</c:v>
                </c:pt>
                <c:pt idx="4">
                  <c:v>492668.89615189889</c:v>
                </c:pt>
                <c:pt idx="5">
                  <c:v>531938.67084170762</c:v>
                </c:pt>
                <c:pt idx="6">
                  <c:v>584850.16637756722</c:v>
                </c:pt>
              </c:numCache>
            </c:numRef>
          </c:val>
          <c:extLst>
            <c:ext xmlns:c16="http://schemas.microsoft.com/office/drawing/2014/chart" uri="{C3380CC4-5D6E-409C-BE32-E72D297353CC}">
              <c16:uniqueId val="{00000000-8487-4C50-9848-5C4EC853596F}"/>
            </c:ext>
          </c:extLst>
        </c:ser>
        <c:dLbls>
          <c:showLegendKey val="0"/>
          <c:showVal val="0"/>
          <c:showCatName val="0"/>
          <c:showSerName val="0"/>
          <c:showPercent val="0"/>
          <c:showBubbleSize val="0"/>
        </c:dLbls>
        <c:gapWidth val="219"/>
        <c:overlap val="-27"/>
        <c:axId val="611639232"/>
        <c:axId val="608244896"/>
      </c:barChart>
      <c:catAx>
        <c:axId val="61163923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08244896"/>
        <c:crosses val="autoZero"/>
        <c:auto val="1"/>
        <c:lblAlgn val="ctr"/>
        <c:lblOffset val="100"/>
        <c:noMultiLvlLbl val="0"/>
      </c:catAx>
      <c:valAx>
        <c:axId val="608244896"/>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11639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'Sugar price'!$A$17:$A$1739</c:f>
              <c:numCache>
                <c:formatCode>m/d/yyyy</c:formatCode>
                <c:ptCount val="1723"/>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43439</c:v>
                </c:pt>
                <c:pt idx="235">
                  <c:v>43440</c:v>
                </c:pt>
                <c:pt idx="236">
                  <c:v>43441</c:v>
                </c:pt>
                <c:pt idx="237">
                  <c:v>43444</c:v>
                </c:pt>
                <c:pt idx="238">
                  <c:v>43445</c:v>
                </c:pt>
                <c:pt idx="239">
                  <c:v>43446</c:v>
                </c:pt>
                <c:pt idx="240">
                  <c:v>43447</c:v>
                </c:pt>
                <c:pt idx="241">
                  <c:v>43448</c:v>
                </c:pt>
                <c:pt idx="242">
                  <c:v>43451</c:v>
                </c:pt>
                <c:pt idx="243">
                  <c:v>43452</c:v>
                </c:pt>
                <c:pt idx="244">
                  <c:v>43453</c:v>
                </c:pt>
                <c:pt idx="245">
                  <c:v>43454</c:v>
                </c:pt>
                <c:pt idx="246">
                  <c:v>43455</c:v>
                </c:pt>
                <c:pt idx="247">
                  <c:v>43458</c:v>
                </c:pt>
                <c:pt idx="248">
                  <c:v>43460</c:v>
                </c:pt>
                <c:pt idx="249">
                  <c:v>43461</c:v>
                </c:pt>
                <c:pt idx="250">
                  <c:v>43462</c:v>
                </c:pt>
                <c:pt idx="251">
                  <c:v>43465</c:v>
                </c:pt>
                <c:pt idx="252">
                  <c:v>43467</c:v>
                </c:pt>
                <c:pt idx="253">
                  <c:v>43468</c:v>
                </c:pt>
                <c:pt idx="254">
                  <c:v>43469</c:v>
                </c:pt>
                <c:pt idx="255">
                  <c:v>43472</c:v>
                </c:pt>
                <c:pt idx="256">
                  <c:v>43473</c:v>
                </c:pt>
                <c:pt idx="257">
                  <c:v>43474</c:v>
                </c:pt>
                <c:pt idx="258">
                  <c:v>43475</c:v>
                </c:pt>
                <c:pt idx="259">
                  <c:v>43476</c:v>
                </c:pt>
                <c:pt idx="260">
                  <c:v>43479</c:v>
                </c:pt>
                <c:pt idx="261">
                  <c:v>43480</c:v>
                </c:pt>
                <c:pt idx="262">
                  <c:v>43481</c:v>
                </c:pt>
                <c:pt idx="263">
                  <c:v>43482</c:v>
                </c:pt>
                <c:pt idx="264">
                  <c:v>43483</c:v>
                </c:pt>
                <c:pt idx="265">
                  <c:v>43487</c:v>
                </c:pt>
                <c:pt idx="266">
                  <c:v>43488</c:v>
                </c:pt>
                <c:pt idx="267">
                  <c:v>43489</c:v>
                </c:pt>
                <c:pt idx="268">
                  <c:v>43490</c:v>
                </c:pt>
                <c:pt idx="269">
                  <c:v>43493</c:v>
                </c:pt>
                <c:pt idx="270">
                  <c:v>43494</c:v>
                </c:pt>
                <c:pt idx="271">
                  <c:v>43495</c:v>
                </c:pt>
                <c:pt idx="272">
                  <c:v>43496</c:v>
                </c:pt>
                <c:pt idx="273">
                  <c:v>43497</c:v>
                </c:pt>
                <c:pt idx="274">
                  <c:v>43500</c:v>
                </c:pt>
                <c:pt idx="275">
                  <c:v>43501</c:v>
                </c:pt>
                <c:pt idx="276">
                  <c:v>43502</c:v>
                </c:pt>
                <c:pt idx="277">
                  <c:v>43503</c:v>
                </c:pt>
                <c:pt idx="278">
                  <c:v>43504</c:v>
                </c:pt>
                <c:pt idx="279">
                  <c:v>43507</c:v>
                </c:pt>
                <c:pt idx="280">
                  <c:v>43508</c:v>
                </c:pt>
                <c:pt idx="281">
                  <c:v>43509</c:v>
                </c:pt>
                <c:pt idx="282">
                  <c:v>43510</c:v>
                </c:pt>
                <c:pt idx="283">
                  <c:v>43511</c:v>
                </c:pt>
                <c:pt idx="284">
                  <c:v>43515</c:v>
                </c:pt>
                <c:pt idx="285">
                  <c:v>43516</c:v>
                </c:pt>
                <c:pt idx="286">
                  <c:v>43517</c:v>
                </c:pt>
                <c:pt idx="287">
                  <c:v>43518</c:v>
                </c:pt>
                <c:pt idx="288">
                  <c:v>43521</c:v>
                </c:pt>
                <c:pt idx="289">
                  <c:v>43522</c:v>
                </c:pt>
                <c:pt idx="290">
                  <c:v>43523</c:v>
                </c:pt>
                <c:pt idx="291">
                  <c:v>43524</c:v>
                </c:pt>
                <c:pt idx="292">
                  <c:v>43525</c:v>
                </c:pt>
                <c:pt idx="293">
                  <c:v>43528</c:v>
                </c:pt>
                <c:pt idx="294">
                  <c:v>43529</c:v>
                </c:pt>
                <c:pt idx="295">
                  <c:v>43530</c:v>
                </c:pt>
                <c:pt idx="296">
                  <c:v>43531</c:v>
                </c:pt>
                <c:pt idx="297">
                  <c:v>43532</c:v>
                </c:pt>
                <c:pt idx="298">
                  <c:v>43535</c:v>
                </c:pt>
                <c:pt idx="299">
                  <c:v>43536</c:v>
                </c:pt>
                <c:pt idx="300">
                  <c:v>43537</c:v>
                </c:pt>
                <c:pt idx="301">
                  <c:v>43538</c:v>
                </c:pt>
                <c:pt idx="302">
                  <c:v>43539</c:v>
                </c:pt>
                <c:pt idx="303">
                  <c:v>43542</c:v>
                </c:pt>
                <c:pt idx="304">
                  <c:v>43543</c:v>
                </c:pt>
                <c:pt idx="305">
                  <c:v>43544</c:v>
                </c:pt>
                <c:pt idx="306">
                  <c:v>43545</c:v>
                </c:pt>
                <c:pt idx="307">
                  <c:v>43546</c:v>
                </c:pt>
                <c:pt idx="308">
                  <c:v>43549</c:v>
                </c:pt>
                <c:pt idx="309">
                  <c:v>43550</c:v>
                </c:pt>
                <c:pt idx="310">
                  <c:v>43551</c:v>
                </c:pt>
                <c:pt idx="311">
                  <c:v>43552</c:v>
                </c:pt>
                <c:pt idx="312">
                  <c:v>43553</c:v>
                </c:pt>
                <c:pt idx="313">
                  <c:v>43556</c:v>
                </c:pt>
                <c:pt idx="314">
                  <c:v>43557</c:v>
                </c:pt>
                <c:pt idx="315">
                  <c:v>43558</c:v>
                </c:pt>
                <c:pt idx="316">
                  <c:v>43559</c:v>
                </c:pt>
                <c:pt idx="317">
                  <c:v>43560</c:v>
                </c:pt>
                <c:pt idx="318">
                  <c:v>43563</c:v>
                </c:pt>
                <c:pt idx="319">
                  <c:v>43564</c:v>
                </c:pt>
                <c:pt idx="320">
                  <c:v>43565</c:v>
                </c:pt>
                <c:pt idx="321">
                  <c:v>43566</c:v>
                </c:pt>
                <c:pt idx="322">
                  <c:v>43567</c:v>
                </c:pt>
                <c:pt idx="323">
                  <c:v>43570</c:v>
                </c:pt>
                <c:pt idx="324">
                  <c:v>43571</c:v>
                </c:pt>
                <c:pt idx="325">
                  <c:v>43572</c:v>
                </c:pt>
                <c:pt idx="326">
                  <c:v>43573</c:v>
                </c:pt>
                <c:pt idx="327">
                  <c:v>43577</c:v>
                </c:pt>
                <c:pt idx="328">
                  <c:v>43578</c:v>
                </c:pt>
                <c:pt idx="329">
                  <c:v>43579</c:v>
                </c:pt>
                <c:pt idx="330">
                  <c:v>43580</c:v>
                </c:pt>
                <c:pt idx="331">
                  <c:v>43581</c:v>
                </c:pt>
                <c:pt idx="332">
                  <c:v>43584</c:v>
                </c:pt>
                <c:pt idx="333">
                  <c:v>43585</c:v>
                </c:pt>
                <c:pt idx="334">
                  <c:v>43586</c:v>
                </c:pt>
                <c:pt idx="335">
                  <c:v>43587</c:v>
                </c:pt>
                <c:pt idx="336">
                  <c:v>43588</c:v>
                </c:pt>
                <c:pt idx="337">
                  <c:v>43591</c:v>
                </c:pt>
                <c:pt idx="338">
                  <c:v>43592</c:v>
                </c:pt>
                <c:pt idx="339">
                  <c:v>43593</c:v>
                </c:pt>
                <c:pt idx="340">
                  <c:v>43594</c:v>
                </c:pt>
                <c:pt idx="341">
                  <c:v>43595</c:v>
                </c:pt>
                <c:pt idx="342">
                  <c:v>43598</c:v>
                </c:pt>
                <c:pt idx="343">
                  <c:v>43599</c:v>
                </c:pt>
                <c:pt idx="344">
                  <c:v>43600</c:v>
                </c:pt>
                <c:pt idx="345">
                  <c:v>43601</c:v>
                </c:pt>
                <c:pt idx="346">
                  <c:v>43602</c:v>
                </c:pt>
                <c:pt idx="347">
                  <c:v>43605</c:v>
                </c:pt>
                <c:pt idx="348">
                  <c:v>43606</c:v>
                </c:pt>
                <c:pt idx="349">
                  <c:v>43607</c:v>
                </c:pt>
                <c:pt idx="350">
                  <c:v>43608</c:v>
                </c:pt>
                <c:pt idx="351">
                  <c:v>43609</c:v>
                </c:pt>
                <c:pt idx="352">
                  <c:v>43612</c:v>
                </c:pt>
                <c:pt idx="353">
                  <c:v>43613</c:v>
                </c:pt>
                <c:pt idx="354">
                  <c:v>43614</c:v>
                </c:pt>
                <c:pt idx="355">
                  <c:v>43615</c:v>
                </c:pt>
                <c:pt idx="356">
                  <c:v>43616</c:v>
                </c:pt>
                <c:pt idx="357">
                  <c:v>43619</c:v>
                </c:pt>
                <c:pt idx="358">
                  <c:v>43620</c:v>
                </c:pt>
                <c:pt idx="359">
                  <c:v>43621</c:v>
                </c:pt>
                <c:pt idx="360">
                  <c:v>43622</c:v>
                </c:pt>
                <c:pt idx="361">
                  <c:v>43623</c:v>
                </c:pt>
                <c:pt idx="362">
                  <c:v>43626</c:v>
                </c:pt>
                <c:pt idx="363">
                  <c:v>43627</c:v>
                </c:pt>
                <c:pt idx="364">
                  <c:v>43628</c:v>
                </c:pt>
                <c:pt idx="365">
                  <c:v>43629</c:v>
                </c:pt>
                <c:pt idx="366">
                  <c:v>43630</c:v>
                </c:pt>
                <c:pt idx="367">
                  <c:v>43633</c:v>
                </c:pt>
                <c:pt idx="368">
                  <c:v>43634</c:v>
                </c:pt>
                <c:pt idx="369">
                  <c:v>43635</c:v>
                </c:pt>
                <c:pt idx="370">
                  <c:v>43636</c:v>
                </c:pt>
                <c:pt idx="371">
                  <c:v>43637</c:v>
                </c:pt>
                <c:pt idx="372">
                  <c:v>43640</c:v>
                </c:pt>
                <c:pt idx="373">
                  <c:v>43641</c:v>
                </c:pt>
                <c:pt idx="374">
                  <c:v>43642</c:v>
                </c:pt>
                <c:pt idx="375">
                  <c:v>43643</c:v>
                </c:pt>
                <c:pt idx="376">
                  <c:v>43644</c:v>
                </c:pt>
                <c:pt idx="377">
                  <c:v>43647</c:v>
                </c:pt>
                <c:pt idx="378">
                  <c:v>43648</c:v>
                </c:pt>
                <c:pt idx="379">
                  <c:v>43649</c:v>
                </c:pt>
                <c:pt idx="380">
                  <c:v>43650</c:v>
                </c:pt>
                <c:pt idx="381">
                  <c:v>43651</c:v>
                </c:pt>
                <c:pt idx="382">
                  <c:v>43654</c:v>
                </c:pt>
                <c:pt idx="383">
                  <c:v>43655</c:v>
                </c:pt>
                <c:pt idx="384">
                  <c:v>43656</c:v>
                </c:pt>
                <c:pt idx="385">
                  <c:v>43657</c:v>
                </c:pt>
                <c:pt idx="386">
                  <c:v>43658</c:v>
                </c:pt>
                <c:pt idx="387">
                  <c:v>43661</c:v>
                </c:pt>
                <c:pt idx="388">
                  <c:v>43662</c:v>
                </c:pt>
                <c:pt idx="389">
                  <c:v>43663</c:v>
                </c:pt>
                <c:pt idx="390">
                  <c:v>43664</c:v>
                </c:pt>
                <c:pt idx="391">
                  <c:v>43665</c:v>
                </c:pt>
                <c:pt idx="392">
                  <c:v>43668</c:v>
                </c:pt>
                <c:pt idx="393">
                  <c:v>43669</c:v>
                </c:pt>
                <c:pt idx="394">
                  <c:v>43670</c:v>
                </c:pt>
                <c:pt idx="395">
                  <c:v>43671</c:v>
                </c:pt>
                <c:pt idx="396">
                  <c:v>43672</c:v>
                </c:pt>
                <c:pt idx="397">
                  <c:v>43675</c:v>
                </c:pt>
                <c:pt idx="398">
                  <c:v>43676</c:v>
                </c:pt>
                <c:pt idx="399">
                  <c:v>43677</c:v>
                </c:pt>
                <c:pt idx="400">
                  <c:v>43678</c:v>
                </c:pt>
                <c:pt idx="401">
                  <c:v>43679</c:v>
                </c:pt>
                <c:pt idx="402">
                  <c:v>43682</c:v>
                </c:pt>
                <c:pt idx="403">
                  <c:v>43683</c:v>
                </c:pt>
                <c:pt idx="404">
                  <c:v>43684</c:v>
                </c:pt>
                <c:pt idx="405">
                  <c:v>43685</c:v>
                </c:pt>
                <c:pt idx="406">
                  <c:v>43686</c:v>
                </c:pt>
                <c:pt idx="407">
                  <c:v>43689</c:v>
                </c:pt>
                <c:pt idx="408">
                  <c:v>43690</c:v>
                </c:pt>
                <c:pt idx="409">
                  <c:v>43691</c:v>
                </c:pt>
                <c:pt idx="410">
                  <c:v>43692</c:v>
                </c:pt>
                <c:pt idx="411">
                  <c:v>43693</c:v>
                </c:pt>
                <c:pt idx="412">
                  <c:v>43696</c:v>
                </c:pt>
                <c:pt idx="413">
                  <c:v>43697</c:v>
                </c:pt>
                <c:pt idx="414">
                  <c:v>43698</c:v>
                </c:pt>
                <c:pt idx="415">
                  <c:v>43699</c:v>
                </c:pt>
                <c:pt idx="416">
                  <c:v>43700</c:v>
                </c:pt>
                <c:pt idx="417">
                  <c:v>43703</c:v>
                </c:pt>
                <c:pt idx="418">
                  <c:v>43704</c:v>
                </c:pt>
                <c:pt idx="419">
                  <c:v>43705</c:v>
                </c:pt>
                <c:pt idx="420">
                  <c:v>43706</c:v>
                </c:pt>
                <c:pt idx="421">
                  <c:v>43707</c:v>
                </c:pt>
                <c:pt idx="422">
                  <c:v>43710</c:v>
                </c:pt>
                <c:pt idx="423">
                  <c:v>43711</c:v>
                </c:pt>
                <c:pt idx="424">
                  <c:v>43712</c:v>
                </c:pt>
                <c:pt idx="425">
                  <c:v>43713</c:v>
                </c:pt>
                <c:pt idx="426">
                  <c:v>43714</c:v>
                </c:pt>
                <c:pt idx="427">
                  <c:v>43717</c:v>
                </c:pt>
                <c:pt idx="428">
                  <c:v>43718</c:v>
                </c:pt>
                <c:pt idx="429">
                  <c:v>43719</c:v>
                </c:pt>
                <c:pt idx="430">
                  <c:v>43720</c:v>
                </c:pt>
                <c:pt idx="431">
                  <c:v>43721</c:v>
                </c:pt>
                <c:pt idx="432">
                  <c:v>43724</c:v>
                </c:pt>
                <c:pt idx="433">
                  <c:v>43725</c:v>
                </c:pt>
                <c:pt idx="434">
                  <c:v>43726</c:v>
                </c:pt>
                <c:pt idx="435">
                  <c:v>43727</c:v>
                </c:pt>
                <c:pt idx="436">
                  <c:v>43728</c:v>
                </c:pt>
                <c:pt idx="437">
                  <c:v>43731</c:v>
                </c:pt>
                <c:pt idx="438">
                  <c:v>43732</c:v>
                </c:pt>
                <c:pt idx="439">
                  <c:v>43733</c:v>
                </c:pt>
                <c:pt idx="440">
                  <c:v>43734</c:v>
                </c:pt>
                <c:pt idx="441">
                  <c:v>43735</c:v>
                </c:pt>
                <c:pt idx="442">
                  <c:v>43738</c:v>
                </c:pt>
                <c:pt idx="443">
                  <c:v>43739</c:v>
                </c:pt>
                <c:pt idx="444">
                  <c:v>43740</c:v>
                </c:pt>
                <c:pt idx="445">
                  <c:v>43741</c:v>
                </c:pt>
                <c:pt idx="446">
                  <c:v>43742</c:v>
                </c:pt>
                <c:pt idx="447">
                  <c:v>43745</c:v>
                </c:pt>
                <c:pt idx="448">
                  <c:v>43746</c:v>
                </c:pt>
                <c:pt idx="449">
                  <c:v>43747</c:v>
                </c:pt>
                <c:pt idx="450">
                  <c:v>43748</c:v>
                </c:pt>
                <c:pt idx="451">
                  <c:v>43749</c:v>
                </c:pt>
                <c:pt idx="452">
                  <c:v>43752</c:v>
                </c:pt>
                <c:pt idx="453">
                  <c:v>43753</c:v>
                </c:pt>
                <c:pt idx="454">
                  <c:v>43754</c:v>
                </c:pt>
                <c:pt idx="455">
                  <c:v>43755</c:v>
                </c:pt>
                <c:pt idx="456">
                  <c:v>43756</c:v>
                </c:pt>
                <c:pt idx="457">
                  <c:v>43759</c:v>
                </c:pt>
                <c:pt idx="458">
                  <c:v>43760</c:v>
                </c:pt>
                <c:pt idx="459">
                  <c:v>43761</c:v>
                </c:pt>
                <c:pt idx="460">
                  <c:v>43762</c:v>
                </c:pt>
                <c:pt idx="461">
                  <c:v>43763</c:v>
                </c:pt>
                <c:pt idx="462">
                  <c:v>43766</c:v>
                </c:pt>
                <c:pt idx="463">
                  <c:v>43767</c:v>
                </c:pt>
                <c:pt idx="464">
                  <c:v>43768</c:v>
                </c:pt>
                <c:pt idx="465">
                  <c:v>43769</c:v>
                </c:pt>
                <c:pt idx="466">
                  <c:v>43770</c:v>
                </c:pt>
                <c:pt idx="467">
                  <c:v>43773</c:v>
                </c:pt>
                <c:pt idx="468">
                  <c:v>43774</c:v>
                </c:pt>
                <c:pt idx="469">
                  <c:v>43775</c:v>
                </c:pt>
                <c:pt idx="470">
                  <c:v>43776</c:v>
                </c:pt>
                <c:pt idx="471">
                  <c:v>43777</c:v>
                </c:pt>
                <c:pt idx="472">
                  <c:v>43780</c:v>
                </c:pt>
                <c:pt idx="473">
                  <c:v>43781</c:v>
                </c:pt>
                <c:pt idx="474">
                  <c:v>43782</c:v>
                </c:pt>
                <c:pt idx="475">
                  <c:v>43783</c:v>
                </c:pt>
                <c:pt idx="476">
                  <c:v>43784</c:v>
                </c:pt>
                <c:pt idx="477">
                  <c:v>43787</c:v>
                </c:pt>
                <c:pt idx="478">
                  <c:v>43788</c:v>
                </c:pt>
                <c:pt idx="479">
                  <c:v>43789</c:v>
                </c:pt>
                <c:pt idx="480">
                  <c:v>43790</c:v>
                </c:pt>
                <c:pt idx="481">
                  <c:v>43791</c:v>
                </c:pt>
                <c:pt idx="482">
                  <c:v>43794</c:v>
                </c:pt>
                <c:pt idx="483">
                  <c:v>43795</c:v>
                </c:pt>
                <c:pt idx="484">
                  <c:v>43796</c:v>
                </c:pt>
                <c:pt idx="485">
                  <c:v>43797</c:v>
                </c:pt>
                <c:pt idx="486">
                  <c:v>43798</c:v>
                </c:pt>
                <c:pt idx="487">
                  <c:v>43801</c:v>
                </c:pt>
                <c:pt idx="488">
                  <c:v>43802</c:v>
                </c:pt>
                <c:pt idx="489">
                  <c:v>43803</c:v>
                </c:pt>
                <c:pt idx="490">
                  <c:v>43804</c:v>
                </c:pt>
                <c:pt idx="491">
                  <c:v>43805</c:v>
                </c:pt>
                <c:pt idx="492">
                  <c:v>43808</c:v>
                </c:pt>
                <c:pt idx="493">
                  <c:v>43809</c:v>
                </c:pt>
                <c:pt idx="494">
                  <c:v>43810</c:v>
                </c:pt>
                <c:pt idx="495">
                  <c:v>43811</c:v>
                </c:pt>
                <c:pt idx="496">
                  <c:v>43812</c:v>
                </c:pt>
                <c:pt idx="497">
                  <c:v>43815</c:v>
                </c:pt>
                <c:pt idx="498">
                  <c:v>43816</c:v>
                </c:pt>
                <c:pt idx="499">
                  <c:v>43817</c:v>
                </c:pt>
                <c:pt idx="500">
                  <c:v>43818</c:v>
                </c:pt>
                <c:pt idx="501">
                  <c:v>43819</c:v>
                </c:pt>
                <c:pt idx="502">
                  <c:v>43822</c:v>
                </c:pt>
                <c:pt idx="503">
                  <c:v>43823</c:v>
                </c:pt>
                <c:pt idx="504">
                  <c:v>43825</c:v>
                </c:pt>
                <c:pt idx="505">
                  <c:v>43826</c:v>
                </c:pt>
                <c:pt idx="506">
                  <c:v>43829</c:v>
                </c:pt>
                <c:pt idx="507">
                  <c:v>43830</c:v>
                </c:pt>
                <c:pt idx="508">
                  <c:v>43832</c:v>
                </c:pt>
                <c:pt idx="509">
                  <c:v>43833</c:v>
                </c:pt>
                <c:pt idx="510">
                  <c:v>43836</c:v>
                </c:pt>
                <c:pt idx="511">
                  <c:v>43837</c:v>
                </c:pt>
                <c:pt idx="512">
                  <c:v>43838</c:v>
                </c:pt>
                <c:pt idx="513">
                  <c:v>43839</c:v>
                </c:pt>
                <c:pt idx="514">
                  <c:v>43840</c:v>
                </c:pt>
                <c:pt idx="515">
                  <c:v>43843</c:v>
                </c:pt>
                <c:pt idx="516">
                  <c:v>43844</c:v>
                </c:pt>
                <c:pt idx="517">
                  <c:v>43845</c:v>
                </c:pt>
                <c:pt idx="518">
                  <c:v>43846</c:v>
                </c:pt>
                <c:pt idx="519">
                  <c:v>43847</c:v>
                </c:pt>
                <c:pt idx="520">
                  <c:v>43850</c:v>
                </c:pt>
                <c:pt idx="521">
                  <c:v>43851</c:v>
                </c:pt>
                <c:pt idx="522">
                  <c:v>43852</c:v>
                </c:pt>
                <c:pt idx="523">
                  <c:v>43853</c:v>
                </c:pt>
                <c:pt idx="524">
                  <c:v>43854</c:v>
                </c:pt>
                <c:pt idx="525">
                  <c:v>43857</c:v>
                </c:pt>
                <c:pt idx="526">
                  <c:v>43858</c:v>
                </c:pt>
                <c:pt idx="527">
                  <c:v>43859</c:v>
                </c:pt>
                <c:pt idx="528">
                  <c:v>43860</c:v>
                </c:pt>
                <c:pt idx="529">
                  <c:v>43861</c:v>
                </c:pt>
                <c:pt idx="530">
                  <c:v>43864</c:v>
                </c:pt>
                <c:pt idx="531">
                  <c:v>43865</c:v>
                </c:pt>
                <c:pt idx="532">
                  <c:v>43866</c:v>
                </c:pt>
                <c:pt idx="533">
                  <c:v>43867</c:v>
                </c:pt>
                <c:pt idx="534">
                  <c:v>43868</c:v>
                </c:pt>
                <c:pt idx="535">
                  <c:v>43871</c:v>
                </c:pt>
                <c:pt idx="536">
                  <c:v>43872</c:v>
                </c:pt>
                <c:pt idx="537">
                  <c:v>43873</c:v>
                </c:pt>
                <c:pt idx="538">
                  <c:v>43874</c:v>
                </c:pt>
                <c:pt idx="539">
                  <c:v>43875</c:v>
                </c:pt>
                <c:pt idx="540">
                  <c:v>43878</c:v>
                </c:pt>
                <c:pt idx="541">
                  <c:v>43879</c:v>
                </c:pt>
                <c:pt idx="542">
                  <c:v>43880</c:v>
                </c:pt>
                <c:pt idx="543">
                  <c:v>43881</c:v>
                </c:pt>
                <c:pt idx="544">
                  <c:v>43882</c:v>
                </c:pt>
                <c:pt idx="545">
                  <c:v>43885</c:v>
                </c:pt>
                <c:pt idx="546">
                  <c:v>43886</c:v>
                </c:pt>
                <c:pt idx="547">
                  <c:v>43887</c:v>
                </c:pt>
                <c:pt idx="548">
                  <c:v>43888</c:v>
                </c:pt>
                <c:pt idx="549">
                  <c:v>43889</c:v>
                </c:pt>
                <c:pt idx="550">
                  <c:v>43892</c:v>
                </c:pt>
                <c:pt idx="551">
                  <c:v>43893</c:v>
                </c:pt>
                <c:pt idx="552">
                  <c:v>43894</c:v>
                </c:pt>
                <c:pt idx="553">
                  <c:v>43895</c:v>
                </c:pt>
                <c:pt idx="554">
                  <c:v>43896</c:v>
                </c:pt>
                <c:pt idx="555">
                  <c:v>43899</c:v>
                </c:pt>
                <c:pt idx="556">
                  <c:v>43900</c:v>
                </c:pt>
                <c:pt idx="557">
                  <c:v>43901</c:v>
                </c:pt>
                <c:pt idx="558">
                  <c:v>43902</c:v>
                </c:pt>
                <c:pt idx="559">
                  <c:v>43903</c:v>
                </c:pt>
                <c:pt idx="560">
                  <c:v>43906</c:v>
                </c:pt>
                <c:pt idx="561">
                  <c:v>43907</c:v>
                </c:pt>
                <c:pt idx="562">
                  <c:v>43908</c:v>
                </c:pt>
                <c:pt idx="563">
                  <c:v>43909</c:v>
                </c:pt>
                <c:pt idx="564">
                  <c:v>43910</c:v>
                </c:pt>
                <c:pt idx="565">
                  <c:v>43913</c:v>
                </c:pt>
                <c:pt idx="566">
                  <c:v>43914</c:v>
                </c:pt>
                <c:pt idx="567">
                  <c:v>43915</c:v>
                </c:pt>
                <c:pt idx="568">
                  <c:v>43916</c:v>
                </c:pt>
                <c:pt idx="569">
                  <c:v>43917</c:v>
                </c:pt>
                <c:pt idx="570">
                  <c:v>43920</c:v>
                </c:pt>
                <c:pt idx="571">
                  <c:v>43921</c:v>
                </c:pt>
                <c:pt idx="572">
                  <c:v>43922</c:v>
                </c:pt>
                <c:pt idx="573">
                  <c:v>43923</c:v>
                </c:pt>
                <c:pt idx="574">
                  <c:v>43924</c:v>
                </c:pt>
                <c:pt idx="575">
                  <c:v>43927</c:v>
                </c:pt>
                <c:pt idx="576">
                  <c:v>43928</c:v>
                </c:pt>
                <c:pt idx="577">
                  <c:v>43929</c:v>
                </c:pt>
                <c:pt idx="578">
                  <c:v>43930</c:v>
                </c:pt>
                <c:pt idx="579">
                  <c:v>43934</c:v>
                </c:pt>
                <c:pt idx="580">
                  <c:v>43935</c:v>
                </c:pt>
                <c:pt idx="581">
                  <c:v>43936</c:v>
                </c:pt>
                <c:pt idx="582">
                  <c:v>43937</c:v>
                </c:pt>
                <c:pt idx="583">
                  <c:v>43938</c:v>
                </c:pt>
                <c:pt idx="584">
                  <c:v>43941</c:v>
                </c:pt>
                <c:pt idx="585">
                  <c:v>43942</c:v>
                </c:pt>
                <c:pt idx="586">
                  <c:v>43943</c:v>
                </c:pt>
                <c:pt idx="587">
                  <c:v>43944</c:v>
                </c:pt>
                <c:pt idx="588">
                  <c:v>43945</c:v>
                </c:pt>
                <c:pt idx="589">
                  <c:v>43948</c:v>
                </c:pt>
                <c:pt idx="590">
                  <c:v>43949</c:v>
                </c:pt>
                <c:pt idx="591">
                  <c:v>43950</c:v>
                </c:pt>
                <c:pt idx="592">
                  <c:v>43951</c:v>
                </c:pt>
                <c:pt idx="593">
                  <c:v>43952</c:v>
                </c:pt>
                <c:pt idx="594">
                  <c:v>43955</c:v>
                </c:pt>
                <c:pt idx="595">
                  <c:v>43956</c:v>
                </c:pt>
                <c:pt idx="596">
                  <c:v>43957</c:v>
                </c:pt>
                <c:pt idx="597">
                  <c:v>43958</c:v>
                </c:pt>
                <c:pt idx="598">
                  <c:v>43959</c:v>
                </c:pt>
                <c:pt idx="599">
                  <c:v>43962</c:v>
                </c:pt>
                <c:pt idx="600">
                  <c:v>43963</c:v>
                </c:pt>
                <c:pt idx="601">
                  <c:v>43964</c:v>
                </c:pt>
                <c:pt idx="602">
                  <c:v>43965</c:v>
                </c:pt>
                <c:pt idx="603">
                  <c:v>43966</c:v>
                </c:pt>
                <c:pt idx="604">
                  <c:v>43969</c:v>
                </c:pt>
                <c:pt idx="605">
                  <c:v>43970</c:v>
                </c:pt>
                <c:pt idx="606">
                  <c:v>43971</c:v>
                </c:pt>
                <c:pt idx="607">
                  <c:v>43972</c:v>
                </c:pt>
                <c:pt idx="608">
                  <c:v>43973</c:v>
                </c:pt>
                <c:pt idx="609">
                  <c:v>43976</c:v>
                </c:pt>
                <c:pt idx="610">
                  <c:v>43977</c:v>
                </c:pt>
                <c:pt idx="611">
                  <c:v>43978</c:v>
                </c:pt>
                <c:pt idx="612">
                  <c:v>43979</c:v>
                </c:pt>
                <c:pt idx="613">
                  <c:v>43980</c:v>
                </c:pt>
                <c:pt idx="614">
                  <c:v>43983</c:v>
                </c:pt>
                <c:pt idx="615">
                  <c:v>43984</c:v>
                </c:pt>
                <c:pt idx="616">
                  <c:v>43985</c:v>
                </c:pt>
                <c:pt idx="617">
                  <c:v>43986</c:v>
                </c:pt>
                <c:pt idx="618">
                  <c:v>43987</c:v>
                </c:pt>
                <c:pt idx="619">
                  <c:v>43990</c:v>
                </c:pt>
                <c:pt idx="620">
                  <c:v>43991</c:v>
                </c:pt>
                <c:pt idx="621">
                  <c:v>43992</c:v>
                </c:pt>
                <c:pt idx="622">
                  <c:v>43993</c:v>
                </c:pt>
                <c:pt idx="623">
                  <c:v>43994</c:v>
                </c:pt>
                <c:pt idx="624">
                  <c:v>43997</c:v>
                </c:pt>
                <c:pt idx="625">
                  <c:v>43998</c:v>
                </c:pt>
                <c:pt idx="626">
                  <c:v>43999</c:v>
                </c:pt>
                <c:pt idx="627">
                  <c:v>44000</c:v>
                </c:pt>
                <c:pt idx="628">
                  <c:v>44001</c:v>
                </c:pt>
                <c:pt idx="629">
                  <c:v>44004</c:v>
                </c:pt>
                <c:pt idx="630">
                  <c:v>44005</c:v>
                </c:pt>
                <c:pt idx="631">
                  <c:v>44006</c:v>
                </c:pt>
                <c:pt idx="632">
                  <c:v>44007</c:v>
                </c:pt>
                <c:pt idx="633">
                  <c:v>44008</c:v>
                </c:pt>
                <c:pt idx="634">
                  <c:v>44011</c:v>
                </c:pt>
                <c:pt idx="635">
                  <c:v>44012</c:v>
                </c:pt>
                <c:pt idx="636">
                  <c:v>44013</c:v>
                </c:pt>
                <c:pt idx="637">
                  <c:v>44014</c:v>
                </c:pt>
                <c:pt idx="638">
                  <c:v>44018</c:v>
                </c:pt>
                <c:pt idx="639">
                  <c:v>44019</c:v>
                </c:pt>
                <c:pt idx="640">
                  <c:v>44020</c:v>
                </c:pt>
                <c:pt idx="641">
                  <c:v>44021</c:v>
                </c:pt>
                <c:pt idx="642">
                  <c:v>44022</c:v>
                </c:pt>
                <c:pt idx="643">
                  <c:v>44025</c:v>
                </c:pt>
                <c:pt idx="644">
                  <c:v>44026</c:v>
                </c:pt>
                <c:pt idx="645">
                  <c:v>44027</c:v>
                </c:pt>
                <c:pt idx="646">
                  <c:v>44028</c:v>
                </c:pt>
                <c:pt idx="647">
                  <c:v>44029</c:v>
                </c:pt>
                <c:pt idx="648">
                  <c:v>44032</c:v>
                </c:pt>
                <c:pt idx="649">
                  <c:v>44033</c:v>
                </c:pt>
                <c:pt idx="650">
                  <c:v>44034</c:v>
                </c:pt>
                <c:pt idx="651">
                  <c:v>44035</c:v>
                </c:pt>
                <c:pt idx="652">
                  <c:v>44036</c:v>
                </c:pt>
                <c:pt idx="653">
                  <c:v>44039</c:v>
                </c:pt>
                <c:pt idx="654">
                  <c:v>44040</c:v>
                </c:pt>
                <c:pt idx="655">
                  <c:v>44041</c:v>
                </c:pt>
                <c:pt idx="656">
                  <c:v>44042</c:v>
                </c:pt>
                <c:pt idx="657">
                  <c:v>44043</c:v>
                </c:pt>
                <c:pt idx="658">
                  <c:v>44046</c:v>
                </c:pt>
                <c:pt idx="659">
                  <c:v>44047</c:v>
                </c:pt>
                <c:pt idx="660">
                  <c:v>44048</c:v>
                </c:pt>
                <c:pt idx="661">
                  <c:v>44049</c:v>
                </c:pt>
                <c:pt idx="662">
                  <c:v>44050</c:v>
                </c:pt>
                <c:pt idx="663">
                  <c:v>44053</c:v>
                </c:pt>
                <c:pt idx="664">
                  <c:v>44054</c:v>
                </c:pt>
                <c:pt idx="665">
                  <c:v>44055</c:v>
                </c:pt>
                <c:pt idx="666">
                  <c:v>44056</c:v>
                </c:pt>
                <c:pt idx="667">
                  <c:v>44057</c:v>
                </c:pt>
                <c:pt idx="668">
                  <c:v>44060</c:v>
                </c:pt>
                <c:pt idx="669">
                  <c:v>44061</c:v>
                </c:pt>
                <c:pt idx="670">
                  <c:v>44062</c:v>
                </c:pt>
                <c:pt idx="671">
                  <c:v>44063</c:v>
                </c:pt>
                <c:pt idx="672">
                  <c:v>44064</c:v>
                </c:pt>
                <c:pt idx="673">
                  <c:v>44067</c:v>
                </c:pt>
                <c:pt idx="674">
                  <c:v>44068</c:v>
                </c:pt>
                <c:pt idx="675">
                  <c:v>44069</c:v>
                </c:pt>
                <c:pt idx="676">
                  <c:v>44070</c:v>
                </c:pt>
                <c:pt idx="677">
                  <c:v>44071</c:v>
                </c:pt>
                <c:pt idx="678">
                  <c:v>44074</c:v>
                </c:pt>
                <c:pt idx="679">
                  <c:v>44075</c:v>
                </c:pt>
                <c:pt idx="680">
                  <c:v>44076</c:v>
                </c:pt>
                <c:pt idx="681">
                  <c:v>44077</c:v>
                </c:pt>
                <c:pt idx="682">
                  <c:v>44078</c:v>
                </c:pt>
                <c:pt idx="683">
                  <c:v>44081</c:v>
                </c:pt>
                <c:pt idx="684">
                  <c:v>44082</c:v>
                </c:pt>
                <c:pt idx="685">
                  <c:v>44083</c:v>
                </c:pt>
                <c:pt idx="686">
                  <c:v>44084</c:v>
                </c:pt>
                <c:pt idx="687">
                  <c:v>44085</c:v>
                </c:pt>
                <c:pt idx="688">
                  <c:v>44088</c:v>
                </c:pt>
                <c:pt idx="689">
                  <c:v>44089</c:v>
                </c:pt>
                <c:pt idx="690">
                  <c:v>44090</c:v>
                </c:pt>
                <c:pt idx="691">
                  <c:v>44091</c:v>
                </c:pt>
                <c:pt idx="692">
                  <c:v>44092</c:v>
                </c:pt>
                <c:pt idx="693">
                  <c:v>44095</c:v>
                </c:pt>
                <c:pt idx="694">
                  <c:v>44096</c:v>
                </c:pt>
                <c:pt idx="695">
                  <c:v>44097</c:v>
                </c:pt>
                <c:pt idx="696">
                  <c:v>44098</c:v>
                </c:pt>
                <c:pt idx="697">
                  <c:v>44099</c:v>
                </c:pt>
                <c:pt idx="698">
                  <c:v>44102</c:v>
                </c:pt>
                <c:pt idx="699">
                  <c:v>44103</c:v>
                </c:pt>
                <c:pt idx="700">
                  <c:v>44104</c:v>
                </c:pt>
                <c:pt idx="701">
                  <c:v>44105</c:v>
                </c:pt>
                <c:pt idx="702">
                  <c:v>44106</c:v>
                </c:pt>
                <c:pt idx="703">
                  <c:v>44109</c:v>
                </c:pt>
                <c:pt idx="704">
                  <c:v>44110</c:v>
                </c:pt>
                <c:pt idx="705">
                  <c:v>44111</c:v>
                </c:pt>
                <c:pt idx="706">
                  <c:v>44112</c:v>
                </c:pt>
                <c:pt idx="707">
                  <c:v>44113</c:v>
                </c:pt>
                <c:pt idx="708">
                  <c:v>44116</c:v>
                </c:pt>
                <c:pt idx="709">
                  <c:v>44117</c:v>
                </c:pt>
                <c:pt idx="710">
                  <c:v>44118</c:v>
                </c:pt>
                <c:pt idx="711">
                  <c:v>44119</c:v>
                </c:pt>
                <c:pt idx="712">
                  <c:v>44120</c:v>
                </c:pt>
                <c:pt idx="713">
                  <c:v>44123</c:v>
                </c:pt>
                <c:pt idx="714">
                  <c:v>44124</c:v>
                </c:pt>
                <c:pt idx="715">
                  <c:v>44125</c:v>
                </c:pt>
                <c:pt idx="716">
                  <c:v>44126</c:v>
                </c:pt>
                <c:pt idx="717">
                  <c:v>44127</c:v>
                </c:pt>
                <c:pt idx="718">
                  <c:v>44130</c:v>
                </c:pt>
                <c:pt idx="719">
                  <c:v>44131</c:v>
                </c:pt>
                <c:pt idx="720">
                  <c:v>44132</c:v>
                </c:pt>
                <c:pt idx="721">
                  <c:v>44133</c:v>
                </c:pt>
                <c:pt idx="722">
                  <c:v>44134</c:v>
                </c:pt>
                <c:pt idx="723">
                  <c:v>44137</c:v>
                </c:pt>
                <c:pt idx="724">
                  <c:v>44138</c:v>
                </c:pt>
                <c:pt idx="725">
                  <c:v>44139</c:v>
                </c:pt>
                <c:pt idx="726">
                  <c:v>44140</c:v>
                </c:pt>
                <c:pt idx="727">
                  <c:v>44141</c:v>
                </c:pt>
                <c:pt idx="728">
                  <c:v>44144</c:v>
                </c:pt>
                <c:pt idx="729">
                  <c:v>44145</c:v>
                </c:pt>
                <c:pt idx="730">
                  <c:v>44146</c:v>
                </c:pt>
                <c:pt idx="731">
                  <c:v>44147</c:v>
                </c:pt>
                <c:pt idx="732">
                  <c:v>44148</c:v>
                </c:pt>
                <c:pt idx="733">
                  <c:v>44151</c:v>
                </c:pt>
                <c:pt idx="734">
                  <c:v>44152</c:v>
                </c:pt>
                <c:pt idx="735">
                  <c:v>44153</c:v>
                </c:pt>
                <c:pt idx="736">
                  <c:v>44154</c:v>
                </c:pt>
                <c:pt idx="737">
                  <c:v>44155</c:v>
                </c:pt>
                <c:pt idx="738">
                  <c:v>44158</c:v>
                </c:pt>
                <c:pt idx="739">
                  <c:v>44159</c:v>
                </c:pt>
                <c:pt idx="740">
                  <c:v>44160</c:v>
                </c:pt>
                <c:pt idx="741">
                  <c:v>44161</c:v>
                </c:pt>
                <c:pt idx="742">
                  <c:v>44162</c:v>
                </c:pt>
                <c:pt idx="743">
                  <c:v>44165</c:v>
                </c:pt>
                <c:pt idx="744">
                  <c:v>44166</c:v>
                </c:pt>
                <c:pt idx="745">
                  <c:v>44167</c:v>
                </c:pt>
                <c:pt idx="746">
                  <c:v>44168</c:v>
                </c:pt>
                <c:pt idx="747">
                  <c:v>44169</c:v>
                </c:pt>
                <c:pt idx="748">
                  <c:v>44172</c:v>
                </c:pt>
                <c:pt idx="749">
                  <c:v>44173</c:v>
                </c:pt>
                <c:pt idx="750">
                  <c:v>44174</c:v>
                </c:pt>
                <c:pt idx="751">
                  <c:v>44175</c:v>
                </c:pt>
                <c:pt idx="752">
                  <c:v>44176</c:v>
                </c:pt>
                <c:pt idx="753">
                  <c:v>44179</c:v>
                </c:pt>
                <c:pt idx="754">
                  <c:v>44180</c:v>
                </c:pt>
                <c:pt idx="755">
                  <c:v>44181</c:v>
                </c:pt>
                <c:pt idx="756">
                  <c:v>44182</c:v>
                </c:pt>
                <c:pt idx="757">
                  <c:v>44183</c:v>
                </c:pt>
                <c:pt idx="758">
                  <c:v>44186</c:v>
                </c:pt>
                <c:pt idx="759">
                  <c:v>44187</c:v>
                </c:pt>
                <c:pt idx="760">
                  <c:v>44188</c:v>
                </c:pt>
                <c:pt idx="761">
                  <c:v>44189</c:v>
                </c:pt>
                <c:pt idx="762">
                  <c:v>44193</c:v>
                </c:pt>
                <c:pt idx="763">
                  <c:v>44194</c:v>
                </c:pt>
                <c:pt idx="764">
                  <c:v>44195</c:v>
                </c:pt>
                <c:pt idx="765">
                  <c:v>44196</c:v>
                </c:pt>
                <c:pt idx="766">
                  <c:v>44200</c:v>
                </c:pt>
                <c:pt idx="767">
                  <c:v>44201</c:v>
                </c:pt>
                <c:pt idx="768">
                  <c:v>44202</c:v>
                </c:pt>
                <c:pt idx="769">
                  <c:v>44203</c:v>
                </c:pt>
                <c:pt idx="770">
                  <c:v>44204</c:v>
                </c:pt>
                <c:pt idx="771">
                  <c:v>44207</c:v>
                </c:pt>
                <c:pt idx="772">
                  <c:v>44208</c:v>
                </c:pt>
                <c:pt idx="773">
                  <c:v>44209</c:v>
                </c:pt>
                <c:pt idx="774">
                  <c:v>44210</c:v>
                </c:pt>
                <c:pt idx="775">
                  <c:v>44211</c:v>
                </c:pt>
                <c:pt idx="776">
                  <c:v>44214</c:v>
                </c:pt>
                <c:pt idx="777">
                  <c:v>44215</c:v>
                </c:pt>
                <c:pt idx="778">
                  <c:v>44216</c:v>
                </c:pt>
                <c:pt idx="779">
                  <c:v>44217</c:v>
                </c:pt>
                <c:pt idx="780">
                  <c:v>44218</c:v>
                </c:pt>
                <c:pt idx="781">
                  <c:v>44221</c:v>
                </c:pt>
                <c:pt idx="782">
                  <c:v>44222</c:v>
                </c:pt>
                <c:pt idx="783">
                  <c:v>44223</c:v>
                </c:pt>
                <c:pt idx="784">
                  <c:v>44224</c:v>
                </c:pt>
                <c:pt idx="785">
                  <c:v>44225</c:v>
                </c:pt>
                <c:pt idx="786">
                  <c:v>44228</c:v>
                </c:pt>
                <c:pt idx="787">
                  <c:v>44229</c:v>
                </c:pt>
                <c:pt idx="788">
                  <c:v>44230</c:v>
                </c:pt>
                <c:pt idx="789">
                  <c:v>44231</c:v>
                </c:pt>
                <c:pt idx="790">
                  <c:v>44232</c:v>
                </c:pt>
                <c:pt idx="791">
                  <c:v>44235</c:v>
                </c:pt>
                <c:pt idx="792">
                  <c:v>44236</c:v>
                </c:pt>
                <c:pt idx="793">
                  <c:v>44237</c:v>
                </c:pt>
                <c:pt idx="794">
                  <c:v>44238</c:v>
                </c:pt>
                <c:pt idx="795">
                  <c:v>44239</c:v>
                </c:pt>
                <c:pt idx="796">
                  <c:v>44242</c:v>
                </c:pt>
                <c:pt idx="797">
                  <c:v>44243</c:v>
                </c:pt>
                <c:pt idx="798">
                  <c:v>44244</c:v>
                </c:pt>
                <c:pt idx="799">
                  <c:v>44245</c:v>
                </c:pt>
                <c:pt idx="800">
                  <c:v>44246</c:v>
                </c:pt>
                <c:pt idx="801">
                  <c:v>44249</c:v>
                </c:pt>
                <c:pt idx="802">
                  <c:v>44250</c:v>
                </c:pt>
                <c:pt idx="803">
                  <c:v>44251</c:v>
                </c:pt>
                <c:pt idx="804">
                  <c:v>44252</c:v>
                </c:pt>
                <c:pt idx="805">
                  <c:v>44253</c:v>
                </c:pt>
                <c:pt idx="806">
                  <c:v>44256</c:v>
                </c:pt>
                <c:pt idx="807">
                  <c:v>44257</c:v>
                </c:pt>
                <c:pt idx="808">
                  <c:v>44258</c:v>
                </c:pt>
                <c:pt idx="809">
                  <c:v>44259</c:v>
                </c:pt>
                <c:pt idx="810">
                  <c:v>44260</c:v>
                </c:pt>
                <c:pt idx="811">
                  <c:v>44263</c:v>
                </c:pt>
                <c:pt idx="812">
                  <c:v>44264</c:v>
                </c:pt>
                <c:pt idx="813">
                  <c:v>44265</c:v>
                </c:pt>
                <c:pt idx="814">
                  <c:v>44266</c:v>
                </c:pt>
                <c:pt idx="815">
                  <c:v>44267</c:v>
                </c:pt>
                <c:pt idx="816">
                  <c:v>44270</c:v>
                </c:pt>
                <c:pt idx="817">
                  <c:v>44271</c:v>
                </c:pt>
                <c:pt idx="818">
                  <c:v>44272</c:v>
                </c:pt>
                <c:pt idx="819">
                  <c:v>44273</c:v>
                </c:pt>
                <c:pt idx="820">
                  <c:v>44274</c:v>
                </c:pt>
                <c:pt idx="821">
                  <c:v>44277</c:v>
                </c:pt>
                <c:pt idx="822">
                  <c:v>44278</c:v>
                </c:pt>
                <c:pt idx="823">
                  <c:v>44279</c:v>
                </c:pt>
                <c:pt idx="824">
                  <c:v>44280</c:v>
                </c:pt>
                <c:pt idx="825">
                  <c:v>44281</c:v>
                </c:pt>
                <c:pt idx="826">
                  <c:v>44284</c:v>
                </c:pt>
                <c:pt idx="827">
                  <c:v>44285</c:v>
                </c:pt>
                <c:pt idx="828">
                  <c:v>44286</c:v>
                </c:pt>
                <c:pt idx="829">
                  <c:v>44287</c:v>
                </c:pt>
                <c:pt idx="830">
                  <c:v>44291</c:v>
                </c:pt>
                <c:pt idx="831">
                  <c:v>44292</c:v>
                </c:pt>
                <c:pt idx="832">
                  <c:v>44293</c:v>
                </c:pt>
                <c:pt idx="833">
                  <c:v>44294</c:v>
                </c:pt>
                <c:pt idx="834">
                  <c:v>44295</c:v>
                </c:pt>
                <c:pt idx="835">
                  <c:v>44298</c:v>
                </c:pt>
                <c:pt idx="836">
                  <c:v>44299</c:v>
                </c:pt>
                <c:pt idx="837">
                  <c:v>44300</c:v>
                </c:pt>
                <c:pt idx="838">
                  <c:v>44301</c:v>
                </c:pt>
                <c:pt idx="839">
                  <c:v>44302</c:v>
                </c:pt>
                <c:pt idx="840">
                  <c:v>44305</c:v>
                </c:pt>
                <c:pt idx="841">
                  <c:v>44306</c:v>
                </c:pt>
                <c:pt idx="842">
                  <c:v>44307</c:v>
                </c:pt>
                <c:pt idx="843">
                  <c:v>44308</c:v>
                </c:pt>
                <c:pt idx="844">
                  <c:v>44309</c:v>
                </c:pt>
                <c:pt idx="845">
                  <c:v>44312</c:v>
                </c:pt>
                <c:pt idx="846">
                  <c:v>44313</c:v>
                </c:pt>
                <c:pt idx="847">
                  <c:v>44314</c:v>
                </c:pt>
                <c:pt idx="848">
                  <c:v>44315</c:v>
                </c:pt>
                <c:pt idx="849">
                  <c:v>44316</c:v>
                </c:pt>
                <c:pt idx="850">
                  <c:v>44319</c:v>
                </c:pt>
                <c:pt idx="851">
                  <c:v>44320</c:v>
                </c:pt>
                <c:pt idx="852">
                  <c:v>44321</c:v>
                </c:pt>
                <c:pt idx="853">
                  <c:v>44322</c:v>
                </c:pt>
                <c:pt idx="854">
                  <c:v>44323</c:v>
                </c:pt>
                <c:pt idx="855">
                  <c:v>44326</c:v>
                </c:pt>
                <c:pt idx="856">
                  <c:v>44327</c:v>
                </c:pt>
                <c:pt idx="857">
                  <c:v>44328</c:v>
                </c:pt>
                <c:pt idx="858">
                  <c:v>44329</c:v>
                </c:pt>
                <c:pt idx="859">
                  <c:v>44330</c:v>
                </c:pt>
                <c:pt idx="860">
                  <c:v>44333</c:v>
                </c:pt>
                <c:pt idx="861">
                  <c:v>44334</c:v>
                </c:pt>
                <c:pt idx="862">
                  <c:v>44335</c:v>
                </c:pt>
                <c:pt idx="863">
                  <c:v>44336</c:v>
                </c:pt>
                <c:pt idx="864">
                  <c:v>44337</c:v>
                </c:pt>
                <c:pt idx="865">
                  <c:v>44340</c:v>
                </c:pt>
                <c:pt idx="866">
                  <c:v>44341</c:v>
                </c:pt>
                <c:pt idx="867">
                  <c:v>44342</c:v>
                </c:pt>
                <c:pt idx="868">
                  <c:v>44343</c:v>
                </c:pt>
                <c:pt idx="869">
                  <c:v>44344</c:v>
                </c:pt>
                <c:pt idx="870">
                  <c:v>44347</c:v>
                </c:pt>
                <c:pt idx="871">
                  <c:v>44348</c:v>
                </c:pt>
                <c:pt idx="872">
                  <c:v>44349</c:v>
                </c:pt>
                <c:pt idx="873">
                  <c:v>44350</c:v>
                </c:pt>
                <c:pt idx="874">
                  <c:v>44351</c:v>
                </c:pt>
                <c:pt idx="875">
                  <c:v>44354</c:v>
                </c:pt>
                <c:pt idx="876">
                  <c:v>44355</c:v>
                </c:pt>
                <c:pt idx="877">
                  <c:v>44356</c:v>
                </c:pt>
                <c:pt idx="878">
                  <c:v>44357</c:v>
                </c:pt>
                <c:pt idx="879">
                  <c:v>44358</c:v>
                </c:pt>
                <c:pt idx="880">
                  <c:v>44361</c:v>
                </c:pt>
                <c:pt idx="881">
                  <c:v>44362</c:v>
                </c:pt>
                <c:pt idx="882">
                  <c:v>44363</c:v>
                </c:pt>
                <c:pt idx="883">
                  <c:v>44364</c:v>
                </c:pt>
                <c:pt idx="884">
                  <c:v>44365</c:v>
                </c:pt>
                <c:pt idx="885">
                  <c:v>44368</c:v>
                </c:pt>
                <c:pt idx="886">
                  <c:v>44369</c:v>
                </c:pt>
                <c:pt idx="887">
                  <c:v>44370</c:v>
                </c:pt>
                <c:pt idx="888">
                  <c:v>44371</c:v>
                </c:pt>
                <c:pt idx="889">
                  <c:v>44372</c:v>
                </c:pt>
                <c:pt idx="890">
                  <c:v>44375</c:v>
                </c:pt>
                <c:pt idx="891">
                  <c:v>44376</c:v>
                </c:pt>
                <c:pt idx="892">
                  <c:v>44377</c:v>
                </c:pt>
                <c:pt idx="893">
                  <c:v>44378</c:v>
                </c:pt>
                <c:pt idx="894">
                  <c:v>44379</c:v>
                </c:pt>
                <c:pt idx="895">
                  <c:v>44382</c:v>
                </c:pt>
                <c:pt idx="896">
                  <c:v>44383</c:v>
                </c:pt>
                <c:pt idx="897">
                  <c:v>44384</c:v>
                </c:pt>
                <c:pt idx="898">
                  <c:v>44385</c:v>
                </c:pt>
                <c:pt idx="899">
                  <c:v>44386</c:v>
                </c:pt>
                <c:pt idx="900">
                  <c:v>44389</c:v>
                </c:pt>
                <c:pt idx="901">
                  <c:v>44390</c:v>
                </c:pt>
                <c:pt idx="902">
                  <c:v>44391</c:v>
                </c:pt>
                <c:pt idx="903">
                  <c:v>44392</c:v>
                </c:pt>
                <c:pt idx="904">
                  <c:v>44393</c:v>
                </c:pt>
                <c:pt idx="905">
                  <c:v>44396</c:v>
                </c:pt>
                <c:pt idx="906">
                  <c:v>44397</c:v>
                </c:pt>
                <c:pt idx="907">
                  <c:v>44398</c:v>
                </c:pt>
                <c:pt idx="908">
                  <c:v>44399</c:v>
                </c:pt>
                <c:pt idx="909">
                  <c:v>44400</c:v>
                </c:pt>
                <c:pt idx="910">
                  <c:v>44403</c:v>
                </c:pt>
                <c:pt idx="911">
                  <c:v>44404</c:v>
                </c:pt>
                <c:pt idx="912">
                  <c:v>44405</c:v>
                </c:pt>
                <c:pt idx="913">
                  <c:v>44406</c:v>
                </c:pt>
                <c:pt idx="914">
                  <c:v>44407</c:v>
                </c:pt>
                <c:pt idx="915">
                  <c:v>44410</c:v>
                </c:pt>
                <c:pt idx="916">
                  <c:v>44411</c:v>
                </c:pt>
                <c:pt idx="917">
                  <c:v>44412</c:v>
                </c:pt>
                <c:pt idx="918">
                  <c:v>44413</c:v>
                </c:pt>
                <c:pt idx="919">
                  <c:v>44414</c:v>
                </c:pt>
                <c:pt idx="920">
                  <c:v>44417</c:v>
                </c:pt>
                <c:pt idx="921">
                  <c:v>44418</c:v>
                </c:pt>
                <c:pt idx="922">
                  <c:v>44419</c:v>
                </c:pt>
                <c:pt idx="923">
                  <c:v>44420</c:v>
                </c:pt>
                <c:pt idx="924">
                  <c:v>44421</c:v>
                </c:pt>
                <c:pt idx="925">
                  <c:v>44424</c:v>
                </c:pt>
                <c:pt idx="926">
                  <c:v>44425</c:v>
                </c:pt>
                <c:pt idx="927">
                  <c:v>44426</c:v>
                </c:pt>
                <c:pt idx="928">
                  <c:v>44427</c:v>
                </c:pt>
                <c:pt idx="929">
                  <c:v>44428</c:v>
                </c:pt>
                <c:pt idx="930">
                  <c:v>44431</c:v>
                </c:pt>
                <c:pt idx="931">
                  <c:v>44432</c:v>
                </c:pt>
                <c:pt idx="932">
                  <c:v>44433</c:v>
                </c:pt>
                <c:pt idx="933">
                  <c:v>44434</c:v>
                </c:pt>
                <c:pt idx="934">
                  <c:v>44435</c:v>
                </c:pt>
                <c:pt idx="935">
                  <c:v>44438</c:v>
                </c:pt>
                <c:pt idx="936">
                  <c:v>44439</c:v>
                </c:pt>
                <c:pt idx="937">
                  <c:v>44440</c:v>
                </c:pt>
                <c:pt idx="938">
                  <c:v>44441</c:v>
                </c:pt>
                <c:pt idx="939">
                  <c:v>44442</c:v>
                </c:pt>
                <c:pt idx="940">
                  <c:v>44445</c:v>
                </c:pt>
                <c:pt idx="941">
                  <c:v>44446</c:v>
                </c:pt>
                <c:pt idx="942">
                  <c:v>44447</c:v>
                </c:pt>
                <c:pt idx="943">
                  <c:v>44448</c:v>
                </c:pt>
                <c:pt idx="944">
                  <c:v>44449</c:v>
                </c:pt>
                <c:pt idx="945">
                  <c:v>44452</c:v>
                </c:pt>
                <c:pt idx="946">
                  <c:v>44453</c:v>
                </c:pt>
                <c:pt idx="947">
                  <c:v>44454</c:v>
                </c:pt>
                <c:pt idx="948">
                  <c:v>44455</c:v>
                </c:pt>
                <c:pt idx="949">
                  <c:v>44456</c:v>
                </c:pt>
                <c:pt idx="950">
                  <c:v>44459</c:v>
                </c:pt>
                <c:pt idx="951">
                  <c:v>44460</c:v>
                </c:pt>
                <c:pt idx="952">
                  <c:v>44461</c:v>
                </c:pt>
                <c:pt idx="953">
                  <c:v>44462</c:v>
                </c:pt>
                <c:pt idx="954">
                  <c:v>44463</c:v>
                </c:pt>
                <c:pt idx="955">
                  <c:v>44466</c:v>
                </c:pt>
                <c:pt idx="956">
                  <c:v>44467</c:v>
                </c:pt>
                <c:pt idx="957">
                  <c:v>44468</c:v>
                </c:pt>
                <c:pt idx="958">
                  <c:v>44469</c:v>
                </c:pt>
                <c:pt idx="959">
                  <c:v>44470</c:v>
                </c:pt>
                <c:pt idx="960">
                  <c:v>44473</c:v>
                </c:pt>
                <c:pt idx="961">
                  <c:v>44474</c:v>
                </c:pt>
                <c:pt idx="962">
                  <c:v>44475</c:v>
                </c:pt>
                <c:pt idx="963">
                  <c:v>44476</c:v>
                </c:pt>
                <c:pt idx="964">
                  <c:v>44477</c:v>
                </c:pt>
                <c:pt idx="965">
                  <c:v>44480</c:v>
                </c:pt>
                <c:pt idx="966">
                  <c:v>44481</c:v>
                </c:pt>
                <c:pt idx="967">
                  <c:v>44482</c:v>
                </c:pt>
                <c:pt idx="968">
                  <c:v>44483</c:v>
                </c:pt>
                <c:pt idx="969">
                  <c:v>44484</c:v>
                </c:pt>
                <c:pt idx="970">
                  <c:v>44487</c:v>
                </c:pt>
                <c:pt idx="971">
                  <c:v>44488</c:v>
                </c:pt>
                <c:pt idx="972">
                  <c:v>44489</c:v>
                </c:pt>
                <c:pt idx="973">
                  <c:v>44490</c:v>
                </c:pt>
                <c:pt idx="974">
                  <c:v>44491</c:v>
                </c:pt>
                <c:pt idx="975">
                  <c:v>44494</c:v>
                </c:pt>
                <c:pt idx="976">
                  <c:v>44495</c:v>
                </c:pt>
                <c:pt idx="977">
                  <c:v>44496</c:v>
                </c:pt>
                <c:pt idx="978">
                  <c:v>44497</c:v>
                </c:pt>
                <c:pt idx="979">
                  <c:v>44498</c:v>
                </c:pt>
                <c:pt idx="980">
                  <c:v>44501</c:v>
                </c:pt>
                <c:pt idx="981">
                  <c:v>44502</c:v>
                </c:pt>
                <c:pt idx="982">
                  <c:v>44503</c:v>
                </c:pt>
                <c:pt idx="983">
                  <c:v>44504</c:v>
                </c:pt>
                <c:pt idx="984">
                  <c:v>44505</c:v>
                </c:pt>
                <c:pt idx="985">
                  <c:v>44508</c:v>
                </c:pt>
                <c:pt idx="986">
                  <c:v>44509</c:v>
                </c:pt>
                <c:pt idx="987">
                  <c:v>44510</c:v>
                </c:pt>
                <c:pt idx="988">
                  <c:v>44511</c:v>
                </c:pt>
                <c:pt idx="989">
                  <c:v>44512</c:v>
                </c:pt>
                <c:pt idx="990">
                  <c:v>44515</c:v>
                </c:pt>
                <c:pt idx="991">
                  <c:v>44516</c:v>
                </c:pt>
                <c:pt idx="992">
                  <c:v>44517</c:v>
                </c:pt>
                <c:pt idx="993">
                  <c:v>44518</c:v>
                </c:pt>
                <c:pt idx="994">
                  <c:v>44519</c:v>
                </c:pt>
                <c:pt idx="995">
                  <c:v>44522</c:v>
                </c:pt>
                <c:pt idx="996">
                  <c:v>44523</c:v>
                </c:pt>
                <c:pt idx="997">
                  <c:v>44524</c:v>
                </c:pt>
                <c:pt idx="998">
                  <c:v>44525</c:v>
                </c:pt>
                <c:pt idx="999">
                  <c:v>44526</c:v>
                </c:pt>
                <c:pt idx="1000">
                  <c:v>44529</c:v>
                </c:pt>
                <c:pt idx="1001">
                  <c:v>44530</c:v>
                </c:pt>
                <c:pt idx="1002">
                  <c:v>44531</c:v>
                </c:pt>
                <c:pt idx="1003">
                  <c:v>44532</c:v>
                </c:pt>
                <c:pt idx="1004">
                  <c:v>44533</c:v>
                </c:pt>
                <c:pt idx="1005">
                  <c:v>44536</c:v>
                </c:pt>
                <c:pt idx="1006">
                  <c:v>44537</c:v>
                </c:pt>
                <c:pt idx="1007">
                  <c:v>44538</c:v>
                </c:pt>
                <c:pt idx="1008">
                  <c:v>44539</c:v>
                </c:pt>
                <c:pt idx="1009">
                  <c:v>44540</c:v>
                </c:pt>
                <c:pt idx="1010">
                  <c:v>44543</c:v>
                </c:pt>
                <c:pt idx="1011">
                  <c:v>44544</c:v>
                </c:pt>
                <c:pt idx="1012">
                  <c:v>44545</c:v>
                </c:pt>
                <c:pt idx="1013">
                  <c:v>44546</c:v>
                </c:pt>
                <c:pt idx="1014">
                  <c:v>44547</c:v>
                </c:pt>
                <c:pt idx="1015">
                  <c:v>44550</c:v>
                </c:pt>
                <c:pt idx="1016">
                  <c:v>44551</c:v>
                </c:pt>
                <c:pt idx="1017">
                  <c:v>44552</c:v>
                </c:pt>
                <c:pt idx="1018">
                  <c:v>44553</c:v>
                </c:pt>
                <c:pt idx="1019">
                  <c:v>44554</c:v>
                </c:pt>
                <c:pt idx="1020">
                  <c:v>44557</c:v>
                </c:pt>
                <c:pt idx="1021">
                  <c:v>44558</c:v>
                </c:pt>
                <c:pt idx="1022">
                  <c:v>44559</c:v>
                </c:pt>
                <c:pt idx="1023">
                  <c:v>44560</c:v>
                </c:pt>
                <c:pt idx="1024">
                  <c:v>44561</c:v>
                </c:pt>
                <c:pt idx="1025">
                  <c:v>44564</c:v>
                </c:pt>
                <c:pt idx="1026">
                  <c:v>44565</c:v>
                </c:pt>
                <c:pt idx="1027">
                  <c:v>44566</c:v>
                </c:pt>
                <c:pt idx="1028">
                  <c:v>44567</c:v>
                </c:pt>
                <c:pt idx="1029">
                  <c:v>44568</c:v>
                </c:pt>
                <c:pt idx="1030">
                  <c:v>44571</c:v>
                </c:pt>
                <c:pt idx="1031">
                  <c:v>44572</c:v>
                </c:pt>
                <c:pt idx="1032">
                  <c:v>44573</c:v>
                </c:pt>
                <c:pt idx="1033">
                  <c:v>44574</c:v>
                </c:pt>
                <c:pt idx="1034">
                  <c:v>44575</c:v>
                </c:pt>
                <c:pt idx="1035">
                  <c:v>44578</c:v>
                </c:pt>
                <c:pt idx="1036">
                  <c:v>44579</c:v>
                </c:pt>
                <c:pt idx="1037">
                  <c:v>44580</c:v>
                </c:pt>
                <c:pt idx="1038">
                  <c:v>44581</c:v>
                </c:pt>
                <c:pt idx="1039">
                  <c:v>44582</c:v>
                </c:pt>
                <c:pt idx="1040">
                  <c:v>44585</c:v>
                </c:pt>
                <c:pt idx="1041">
                  <c:v>44586</c:v>
                </c:pt>
                <c:pt idx="1042">
                  <c:v>44587</c:v>
                </c:pt>
                <c:pt idx="1043">
                  <c:v>44588</c:v>
                </c:pt>
                <c:pt idx="1044">
                  <c:v>44589</c:v>
                </c:pt>
                <c:pt idx="1045">
                  <c:v>44592</c:v>
                </c:pt>
                <c:pt idx="1046">
                  <c:v>44593</c:v>
                </c:pt>
                <c:pt idx="1047">
                  <c:v>44594</c:v>
                </c:pt>
                <c:pt idx="1048">
                  <c:v>44595</c:v>
                </c:pt>
                <c:pt idx="1049">
                  <c:v>44596</c:v>
                </c:pt>
                <c:pt idx="1050">
                  <c:v>44599</c:v>
                </c:pt>
                <c:pt idx="1051">
                  <c:v>44600</c:v>
                </c:pt>
                <c:pt idx="1052">
                  <c:v>44601</c:v>
                </c:pt>
                <c:pt idx="1053">
                  <c:v>44602</c:v>
                </c:pt>
                <c:pt idx="1054">
                  <c:v>44603</c:v>
                </c:pt>
                <c:pt idx="1055">
                  <c:v>44606</c:v>
                </c:pt>
                <c:pt idx="1056">
                  <c:v>44607</c:v>
                </c:pt>
                <c:pt idx="1057">
                  <c:v>44608</c:v>
                </c:pt>
                <c:pt idx="1058">
                  <c:v>44609</c:v>
                </c:pt>
                <c:pt idx="1059">
                  <c:v>44610</c:v>
                </c:pt>
                <c:pt idx="1060">
                  <c:v>44613</c:v>
                </c:pt>
                <c:pt idx="1061">
                  <c:v>44614</c:v>
                </c:pt>
                <c:pt idx="1062">
                  <c:v>44615</c:v>
                </c:pt>
                <c:pt idx="1063">
                  <c:v>44616</c:v>
                </c:pt>
                <c:pt idx="1064">
                  <c:v>44617</c:v>
                </c:pt>
                <c:pt idx="1065">
                  <c:v>44620</c:v>
                </c:pt>
                <c:pt idx="1066">
                  <c:v>44621</c:v>
                </c:pt>
                <c:pt idx="1067">
                  <c:v>44622</c:v>
                </c:pt>
                <c:pt idx="1068">
                  <c:v>44623</c:v>
                </c:pt>
                <c:pt idx="1069">
                  <c:v>44624</c:v>
                </c:pt>
                <c:pt idx="1070">
                  <c:v>44627</c:v>
                </c:pt>
                <c:pt idx="1071">
                  <c:v>44628</c:v>
                </c:pt>
                <c:pt idx="1072">
                  <c:v>44629</c:v>
                </c:pt>
                <c:pt idx="1073">
                  <c:v>44630</c:v>
                </c:pt>
                <c:pt idx="1074">
                  <c:v>44631</c:v>
                </c:pt>
                <c:pt idx="1075">
                  <c:v>44634</c:v>
                </c:pt>
                <c:pt idx="1076">
                  <c:v>44635</c:v>
                </c:pt>
                <c:pt idx="1077">
                  <c:v>44636</c:v>
                </c:pt>
                <c:pt idx="1078">
                  <c:v>44637</c:v>
                </c:pt>
                <c:pt idx="1079">
                  <c:v>44638</c:v>
                </c:pt>
                <c:pt idx="1080">
                  <c:v>44641</c:v>
                </c:pt>
                <c:pt idx="1081">
                  <c:v>44642</c:v>
                </c:pt>
                <c:pt idx="1082">
                  <c:v>44643</c:v>
                </c:pt>
                <c:pt idx="1083">
                  <c:v>44644</c:v>
                </c:pt>
                <c:pt idx="1084">
                  <c:v>44645</c:v>
                </c:pt>
                <c:pt idx="1085">
                  <c:v>44648</c:v>
                </c:pt>
                <c:pt idx="1086">
                  <c:v>44649</c:v>
                </c:pt>
                <c:pt idx="1087">
                  <c:v>44650</c:v>
                </c:pt>
                <c:pt idx="1088">
                  <c:v>44651</c:v>
                </c:pt>
                <c:pt idx="1089">
                  <c:v>44652</c:v>
                </c:pt>
                <c:pt idx="1090">
                  <c:v>44655</c:v>
                </c:pt>
                <c:pt idx="1091">
                  <c:v>44656</c:v>
                </c:pt>
                <c:pt idx="1092">
                  <c:v>44657</c:v>
                </c:pt>
                <c:pt idx="1093">
                  <c:v>44658</c:v>
                </c:pt>
                <c:pt idx="1094">
                  <c:v>44659</c:v>
                </c:pt>
                <c:pt idx="1095">
                  <c:v>44662</c:v>
                </c:pt>
                <c:pt idx="1096">
                  <c:v>44663</c:v>
                </c:pt>
                <c:pt idx="1097">
                  <c:v>44664</c:v>
                </c:pt>
                <c:pt idx="1098">
                  <c:v>44665</c:v>
                </c:pt>
                <c:pt idx="1099">
                  <c:v>44669</c:v>
                </c:pt>
                <c:pt idx="1100">
                  <c:v>44670</c:v>
                </c:pt>
                <c:pt idx="1101">
                  <c:v>44671</c:v>
                </c:pt>
                <c:pt idx="1102">
                  <c:v>44672</c:v>
                </c:pt>
                <c:pt idx="1103">
                  <c:v>44673</c:v>
                </c:pt>
                <c:pt idx="1104">
                  <c:v>44676</c:v>
                </c:pt>
                <c:pt idx="1105">
                  <c:v>44677</c:v>
                </c:pt>
                <c:pt idx="1106">
                  <c:v>44678</c:v>
                </c:pt>
                <c:pt idx="1107">
                  <c:v>44679</c:v>
                </c:pt>
                <c:pt idx="1108">
                  <c:v>44680</c:v>
                </c:pt>
                <c:pt idx="1109">
                  <c:v>44683</c:v>
                </c:pt>
                <c:pt idx="1110">
                  <c:v>44684</c:v>
                </c:pt>
                <c:pt idx="1111">
                  <c:v>44685</c:v>
                </c:pt>
                <c:pt idx="1112">
                  <c:v>44686</c:v>
                </c:pt>
                <c:pt idx="1113">
                  <c:v>44687</c:v>
                </c:pt>
                <c:pt idx="1114">
                  <c:v>44690</c:v>
                </c:pt>
                <c:pt idx="1115">
                  <c:v>44691</c:v>
                </c:pt>
                <c:pt idx="1116">
                  <c:v>44692</c:v>
                </c:pt>
                <c:pt idx="1117">
                  <c:v>44693</c:v>
                </c:pt>
                <c:pt idx="1118">
                  <c:v>44694</c:v>
                </c:pt>
                <c:pt idx="1119">
                  <c:v>44697</c:v>
                </c:pt>
                <c:pt idx="1120">
                  <c:v>44698</c:v>
                </c:pt>
                <c:pt idx="1121">
                  <c:v>44699</c:v>
                </c:pt>
                <c:pt idx="1122">
                  <c:v>44700</c:v>
                </c:pt>
                <c:pt idx="1123">
                  <c:v>44701</c:v>
                </c:pt>
                <c:pt idx="1124">
                  <c:v>44704</c:v>
                </c:pt>
                <c:pt idx="1125">
                  <c:v>44705</c:v>
                </c:pt>
                <c:pt idx="1126">
                  <c:v>44706</c:v>
                </c:pt>
                <c:pt idx="1127">
                  <c:v>44707</c:v>
                </c:pt>
                <c:pt idx="1128">
                  <c:v>44708</c:v>
                </c:pt>
                <c:pt idx="1129">
                  <c:v>44711</c:v>
                </c:pt>
                <c:pt idx="1130">
                  <c:v>44712</c:v>
                </c:pt>
                <c:pt idx="1131">
                  <c:v>44713</c:v>
                </c:pt>
                <c:pt idx="1132">
                  <c:v>44714</c:v>
                </c:pt>
                <c:pt idx="1133">
                  <c:v>44715</c:v>
                </c:pt>
                <c:pt idx="1134">
                  <c:v>44718</c:v>
                </c:pt>
                <c:pt idx="1135">
                  <c:v>44719</c:v>
                </c:pt>
                <c:pt idx="1136">
                  <c:v>44720</c:v>
                </c:pt>
                <c:pt idx="1137">
                  <c:v>44721</c:v>
                </c:pt>
                <c:pt idx="1138">
                  <c:v>44722</c:v>
                </c:pt>
                <c:pt idx="1139">
                  <c:v>44725</c:v>
                </c:pt>
                <c:pt idx="1140">
                  <c:v>44726</c:v>
                </c:pt>
                <c:pt idx="1141">
                  <c:v>44727</c:v>
                </c:pt>
                <c:pt idx="1142">
                  <c:v>44728</c:v>
                </c:pt>
                <c:pt idx="1143">
                  <c:v>44729</c:v>
                </c:pt>
                <c:pt idx="1144">
                  <c:v>44732</c:v>
                </c:pt>
                <c:pt idx="1145">
                  <c:v>44733</c:v>
                </c:pt>
                <c:pt idx="1146">
                  <c:v>44734</c:v>
                </c:pt>
                <c:pt idx="1147">
                  <c:v>44735</c:v>
                </c:pt>
                <c:pt idx="1148">
                  <c:v>44736</c:v>
                </c:pt>
                <c:pt idx="1149">
                  <c:v>44739</c:v>
                </c:pt>
                <c:pt idx="1150">
                  <c:v>44740</c:v>
                </c:pt>
                <c:pt idx="1151">
                  <c:v>44741</c:v>
                </c:pt>
                <c:pt idx="1152">
                  <c:v>44742</c:v>
                </c:pt>
                <c:pt idx="1153">
                  <c:v>44743</c:v>
                </c:pt>
                <c:pt idx="1154">
                  <c:v>44746</c:v>
                </c:pt>
                <c:pt idx="1155">
                  <c:v>44747</c:v>
                </c:pt>
                <c:pt idx="1156">
                  <c:v>44748</c:v>
                </c:pt>
                <c:pt idx="1157">
                  <c:v>44749</c:v>
                </c:pt>
                <c:pt idx="1158">
                  <c:v>44750</c:v>
                </c:pt>
                <c:pt idx="1159">
                  <c:v>44753</c:v>
                </c:pt>
                <c:pt idx="1160">
                  <c:v>44754</c:v>
                </c:pt>
                <c:pt idx="1161">
                  <c:v>44755</c:v>
                </c:pt>
                <c:pt idx="1162">
                  <c:v>44756</c:v>
                </c:pt>
                <c:pt idx="1163">
                  <c:v>44757</c:v>
                </c:pt>
                <c:pt idx="1164">
                  <c:v>44760</c:v>
                </c:pt>
                <c:pt idx="1165">
                  <c:v>44761</c:v>
                </c:pt>
                <c:pt idx="1166">
                  <c:v>44762</c:v>
                </c:pt>
                <c:pt idx="1167">
                  <c:v>44763</c:v>
                </c:pt>
                <c:pt idx="1168">
                  <c:v>44764</c:v>
                </c:pt>
                <c:pt idx="1169">
                  <c:v>44767</c:v>
                </c:pt>
                <c:pt idx="1170">
                  <c:v>44768</c:v>
                </c:pt>
                <c:pt idx="1171">
                  <c:v>44769</c:v>
                </c:pt>
                <c:pt idx="1172">
                  <c:v>44770</c:v>
                </c:pt>
                <c:pt idx="1173">
                  <c:v>44771</c:v>
                </c:pt>
                <c:pt idx="1174">
                  <c:v>44774</c:v>
                </c:pt>
                <c:pt idx="1175">
                  <c:v>44775</c:v>
                </c:pt>
                <c:pt idx="1176">
                  <c:v>44776</c:v>
                </c:pt>
                <c:pt idx="1177">
                  <c:v>44777</c:v>
                </c:pt>
                <c:pt idx="1178">
                  <c:v>44778</c:v>
                </c:pt>
                <c:pt idx="1179">
                  <c:v>44781</c:v>
                </c:pt>
                <c:pt idx="1180">
                  <c:v>44782</c:v>
                </c:pt>
                <c:pt idx="1181">
                  <c:v>44783</c:v>
                </c:pt>
                <c:pt idx="1182">
                  <c:v>44784</c:v>
                </c:pt>
                <c:pt idx="1183">
                  <c:v>44785</c:v>
                </c:pt>
                <c:pt idx="1184">
                  <c:v>44788</c:v>
                </c:pt>
                <c:pt idx="1185">
                  <c:v>44789</c:v>
                </c:pt>
                <c:pt idx="1186">
                  <c:v>44790</c:v>
                </c:pt>
                <c:pt idx="1187">
                  <c:v>44791</c:v>
                </c:pt>
                <c:pt idx="1188">
                  <c:v>44792</c:v>
                </c:pt>
                <c:pt idx="1189">
                  <c:v>44795</c:v>
                </c:pt>
                <c:pt idx="1190">
                  <c:v>44796</c:v>
                </c:pt>
                <c:pt idx="1191">
                  <c:v>44797</c:v>
                </c:pt>
                <c:pt idx="1192">
                  <c:v>44798</c:v>
                </c:pt>
                <c:pt idx="1193">
                  <c:v>44799</c:v>
                </c:pt>
                <c:pt idx="1194">
                  <c:v>44802</c:v>
                </c:pt>
                <c:pt idx="1195">
                  <c:v>44803</c:v>
                </c:pt>
                <c:pt idx="1196">
                  <c:v>44804</c:v>
                </c:pt>
                <c:pt idx="1197">
                  <c:v>44805</c:v>
                </c:pt>
                <c:pt idx="1198">
                  <c:v>44806</c:v>
                </c:pt>
                <c:pt idx="1199">
                  <c:v>44809</c:v>
                </c:pt>
                <c:pt idx="1200">
                  <c:v>44810</c:v>
                </c:pt>
                <c:pt idx="1201">
                  <c:v>44811</c:v>
                </c:pt>
                <c:pt idx="1202">
                  <c:v>44812</c:v>
                </c:pt>
                <c:pt idx="1203">
                  <c:v>44813</c:v>
                </c:pt>
                <c:pt idx="1204">
                  <c:v>44816</c:v>
                </c:pt>
                <c:pt idx="1205">
                  <c:v>44817</c:v>
                </c:pt>
                <c:pt idx="1206">
                  <c:v>44818</c:v>
                </c:pt>
                <c:pt idx="1207">
                  <c:v>44819</c:v>
                </c:pt>
                <c:pt idx="1208">
                  <c:v>44820</c:v>
                </c:pt>
                <c:pt idx="1209">
                  <c:v>44823</c:v>
                </c:pt>
                <c:pt idx="1210">
                  <c:v>44824</c:v>
                </c:pt>
                <c:pt idx="1211">
                  <c:v>44825</c:v>
                </c:pt>
                <c:pt idx="1212">
                  <c:v>44826</c:v>
                </c:pt>
                <c:pt idx="1213">
                  <c:v>44827</c:v>
                </c:pt>
                <c:pt idx="1214">
                  <c:v>44830</c:v>
                </c:pt>
                <c:pt idx="1215">
                  <c:v>44831</c:v>
                </c:pt>
                <c:pt idx="1216">
                  <c:v>44832</c:v>
                </c:pt>
                <c:pt idx="1217">
                  <c:v>44833</c:v>
                </c:pt>
                <c:pt idx="1218">
                  <c:v>44834</c:v>
                </c:pt>
                <c:pt idx="1219">
                  <c:v>44837</c:v>
                </c:pt>
                <c:pt idx="1220">
                  <c:v>44838</c:v>
                </c:pt>
                <c:pt idx="1221">
                  <c:v>44839</c:v>
                </c:pt>
                <c:pt idx="1222">
                  <c:v>44840</c:v>
                </c:pt>
                <c:pt idx="1223">
                  <c:v>44841</c:v>
                </c:pt>
                <c:pt idx="1224">
                  <c:v>44844</c:v>
                </c:pt>
                <c:pt idx="1225">
                  <c:v>44845</c:v>
                </c:pt>
                <c:pt idx="1226">
                  <c:v>44846</c:v>
                </c:pt>
                <c:pt idx="1227">
                  <c:v>44847</c:v>
                </c:pt>
                <c:pt idx="1228">
                  <c:v>44848</c:v>
                </c:pt>
                <c:pt idx="1229">
                  <c:v>44851</c:v>
                </c:pt>
                <c:pt idx="1230">
                  <c:v>44852</c:v>
                </c:pt>
                <c:pt idx="1231">
                  <c:v>44853</c:v>
                </c:pt>
                <c:pt idx="1232">
                  <c:v>44854</c:v>
                </c:pt>
                <c:pt idx="1233">
                  <c:v>44855</c:v>
                </c:pt>
                <c:pt idx="1234">
                  <c:v>44858</c:v>
                </c:pt>
                <c:pt idx="1235">
                  <c:v>44859</c:v>
                </c:pt>
                <c:pt idx="1236">
                  <c:v>44860</c:v>
                </c:pt>
                <c:pt idx="1237">
                  <c:v>44861</c:v>
                </c:pt>
                <c:pt idx="1238">
                  <c:v>44862</c:v>
                </c:pt>
                <c:pt idx="1239">
                  <c:v>44865</c:v>
                </c:pt>
                <c:pt idx="1240">
                  <c:v>44866</c:v>
                </c:pt>
                <c:pt idx="1241">
                  <c:v>44867</c:v>
                </c:pt>
                <c:pt idx="1242">
                  <c:v>44868</c:v>
                </c:pt>
                <c:pt idx="1243">
                  <c:v>44869</c:v>
                </c:pt>
                <c:pt idx="1244">
                  <c:v>44872</c:v>
                </c:pt>
                <c:pt idx="1245">
                  <c:v>44873</c:v>
                </c:pt>
                <c:pt idx="1246">
                  <c:v>44874</c:v>
                </c:pt>
                <c:pt idx="1247">
                  <c:v>44875</c:v>
                </c:pt>
                <c:pt idx="1248">
                  <c:v>44876</c:v>
                </c:pt>
                <c:pt idx="1249">
                  <c:v>44879</c:v>
                </c:pt>
                <c:pt idx="1250">
                  <c:v>44880</c:v>
                </c:pt>
                <c:pt idx="1251">
                  <c:v>44881</c:v>
                </c:pt>
                <c:pt idx="1252">
                  <c:v>44882</c:v>
                </c:pt>
                <c:pt idx="1253">
                  <c:v>44883</c:v>
                </c:pt>
                <c:pt idx="1254">
                  <c:v>44886</c:v>
                </c:pt>
                <c:pt idx="1255">
                  <c:v>44887</c:v>
                </c:pt>
                <c:pt idx="1256">
                  <c:v>44888</c:v>
                </c:pt>
                <c:pt idx="1257">
                  <c:v>44889</c:v>
                </c:pt>
                <c:pt idx="1258">
                  <c:v>44890</c:v>
                </c:pt>
                <c:pt idx="1259">
                  <c:v>44893</c:v>
                </c:pt>
                <c:pt idx="1260">
                  <c:v>44894</c:v>
                </c:pt>
                <c:pt idx="1261">
                  <c:v>44895</c:v>
                </c:pt>
                <c:pt idx="1262">
                  <c:v>44896</c:v>
                </c:pt>
                <c:pt idx="1263">
                  <c:v>44897</c:v>
                </c:pt>
                <c:pt idx="1264">
                  <c:v>44900</c:v>
                </c:pt>
                <c:pt idx="1265">
                  <c:v>44901</c:v>
                </c:pt>
                <c:pt idx="1266">
                  <c:v>44902</c:v>
                </c:pt>
                <c:pt idx="1267">
                  <c:v>44903</c:v>
                </c:pt>
                <c:pt idx="1268">
                  <c:v>44904</c:v>
                </c:pt>
                <c:pt idx="1269">
                  <c:v>44907</c:v>
                </c:pt>
                <c:pt idx="1270">
                  <c:v>44908</c:v>
                </c:pt>
                <c:pt idx="1271">
                  <c:v>44909</c:v>
                </c:pt>
                <c:pt idx="1272">
                  <c:v>44910</c:v>
                </c:pt>
                <c:pt idx="1273">
                  <c:v>44911</c:v>
                </c:pt>
                <c:pt idx="1274">
                  <c:v>44914</c:v>
                </c:pt>
                <c:pt idx="1275">
                  <c:v>44915</c:v>
                </c:pt>
                <c:pt idx="1276">
                  <c:v>44916</c:v>
                </c:pt>
                <c:pt idx="1277">
                  <c:v>44917</c:v>
                </c:pt>
                <c:pt idx="1278">
                  <c:v>44918</c:v>
                </c:pt>
                <c:pt idx="1279">
                  <c:v>44921</c:v>
                </c:pt>
                <c:pt idx="1280">
                  <c:v>44922</c:v>
                </c:pt>
                <c:pt idx="1281">
                  <c:v>44923</c:v>
                </c:pt>
                <c:pt idx="1282">
                  <c:v>44924</c:v>
                </c:pt>
                <c:pt idx="1283">
                  <c:v>44925</c:v>
                </c:pt>
                <c:pt idx="1284">
                  <c:v>44928</c:v>
                </c:pt>
                <c:pt idx="1285">
                  <c:v>44929</c:v>
                </c:pt>
                <c:pt idx="1286">
                  <c:v>44930</c:v>
                </c:pt>
                <c:pt idx="1287">
                  <c:v>44931</c:v>
                </c:pt>
                <c:pt idx="1288">
                  <c:v>44932</c:v>
                </c:pt>
                <c:pt idx="1289">
                  <c:v>44935</c:v>
                </c:pt>
                <c:pt idx="1290">
                  <c:v>44936</c:v>
                </c:pt>
                <c:pt idx="1291">
                  <c:v>44937</c:v>
                </c:pt>
                <c:pt idx="1292">
                  <c:v>44938</c:v>
                </c:pt>
                <c:pt idx="1293">
                  <c:v>44939</c:v>
                </c:pt>
                <c:pt idx="1294">
                  <c:v>44942</c:v>
                </c:pt>
                <c:pt idx="1295">
                  <c:v>44943</c:v>
                </c:pt>
                <c:pt idx="1296">
                  <c:v>44944</c:v>
                </c:pt>
                <c:pt idx="1297">
                  <c:v>44945</c:v>
                </c:pt>
                <c:pt idx="1298">
                  <c:v>44946</c:v>
                </c:pt>
                <c:pt idx="1299">
                  <c:v>44949</c:v>
                </c:pt>
                <c:pt idx="1300">
                  <c:v>44950</c:v>
                </c:pt>
                <c:pt idx="1301">
                  <c:v>44951</c:v>
                </c:pt>
                <c:pt idx="1302">
                  <c:v>44952</c:v>
                </c:pt>
                <c:pt idx="1303">
                  <c:v>44953</c:v>
                </c:pt>
                <c:pt idx="1304">
                  <c:v>44956</c:v>
                </c:pt>
                <c:pt idx="1305">
                  <c:v>44957</c:v>
                </c:pt>
                <c:pt idx="1306">
                  <c:v>44958</c:v>
                </c:pt>
                <c:pt idx="1307">
                  <c:v>44959</c:v>
                </c:pt>
                <c:pt idx="1308">
                  <c:v>44960</c:v>
                </c:pt>
                <c:pt idx="1309">
                  <c:v>44963</c:v>
                </c:pt>
                <c:pt idx="1310">
                  <c:v>44964</c:v>
                </c:pt>
                <c:pt idx="1311">
                  <c:v>44965</c:v>
                </c:pt>
                <c:pt idx="1312">
                  <c:v>44966</c:v>
                </c:pt>
                <c:pt idx="1313">
                  <c:v>44967</c:v>
                </c:pt>
                <c:pt idx="1314">
                  <c:v>44970</c:v>
                </c:pt>
                <c:pt idx="1315">
                  <c:v>44971</c:v>
                </c:pt>
                <c:pt idx="1316">
                  <c:v>44972</c:v>
                </c:pt>
                <c:pt idx="1317">
                  <c:v>44973</c:v>
                </c:pt>
                <c:pt idx="1318">
                  <c:v>44974</c:v>
                </c:pt>
                <c:pt idx="1319">
                  <c:v>44977</c:v>
                </c:pt>
                <c:pt idx="1320">
                  <c:v>44978</c:v>
                </c:pt>
                <c:pt idx="1321">
                  <c:v>44979</c:v>
                </c:pt>
                <c:pt idx="1322">
                  <c:v>44980</c:v>
                </c:pt>
                <c:pt idx="1323">
                  <c:v>44981</c:v>
                </c:pt>
                <c:pt idx="1324">
                  <c:v>44984</c:v>
                </c:pt>
                <c:pt idx="1325">
                  <c:v>44985</c:v>
                </c:pt>
                <c:pt idx="1326">
                  <c:v>44986</c:v>
                </c:pt>
                <c:pt idx="1327">
                  <c:v>44987</c:v>
                </c:pt>
                <c:pt idx="1328">
                  <c:v>44988</c:v>
                </c:pt>
                <c:pt idx="1329">
                  <c:v>44991</c:v>
                </c:pt>
                <c:pt idx="1330">
                  <c:v>44992</c:v>
                </c:pt>
                <c:pt idx="1331">
                  <c:v>44993</c:v>
                </c:pt>
                <c:pt idx="1332">
                  <c:v>44994</c:v>
                </c:pt>
                <c:pt idx="1333">
                  <c:v>44995</c:v>
                </c:pt>
                <c:pt idx="1334">
                  <c:v>44998</c:v>
                </c:pt>
                <c:pt idx="1335">
                  <c:v>44999</c:v>
                </c:pt>
                <c:pt idx="1336">
                  <c:v>45000</c:v>
                </c:pt>
                <c:pt idx="1337">
                  <c:v>45001</c:v>
                </c:pt>
                <c:pt idx="1338">
                  <c:v>45002</c:v>
                </c:pt>
                <c:pt idx="1339">
                  <c:v>45005</c:v>
                </c:pt>
                <c:pt idx="1340">
                  <c:v>45006</c:v>
                </c:pt>
                <c:pt idx="1341">
                  <c:v>45007</c:v>
                </c:pt>
                <c:pt idx="1342">
                  <c:v>45008</c:v>
                </c:pt>
                <c:pt idx="1343">
                  <c:v>45009</c:v>
                </c:pt>
                <c:pt idx="1344">
                  <c:v>45012</c:v>
                </c:pt>
                <c:pt idx="1345">
                  <c:v>45013</c:v>
                </c:pt>
                <c:pt idx="1346">
                  <c:v>45014</c:v>
                </c:pt>
                <c:pt idx="1347">
                  <c:v>45015</c:v>
                </c:pt>
                <c:pt idx="1348">
                  <c:v>45016</c:v>
                </c:pt>
                <c:pt idx="1349">
                  <c:v>45019</c:v>
                </c:pt>
                <c:pt idx="1350">
                  <c:v>45020</c:v>
                </c:pt>
                <c:pt idx="1351">
                  <c:v>45021</c:v>
                </c:pt>
                <c:pt idx="1352">
                  <c:v>45022</c:v>
                </c:pt>
                <c:pt idx="1353">
                  <c:v>45023</c:v>
                </c:pt>
                <c:pt idx="1354">
                  <c:v>45026</c:v>
                </c:pt>
                <c:pt idx="1355">
                  <c:v>45027</c:v>
                </c:pt>
                <c:pt idx="1356">
                  <c:v>45028</c:v>
                </c:pt>
                <c:pt idx="1357">
                  <c:v>45029</c:v>
                </c:pt>
                <c:pt idx="1358">
                  <c:v>45030</c:v>
                </c:pt>
                <c:pt idx="1359">
                  <c:v>45033</c:v>
                </c:pt>
                <c:pt idx="1360">
                  <c:v>45034</c:v>
                </c:pt>
                <c:pt idx="1361">
                  <c:v>45035</c:v>
                </c:pt>
                <c:pt idx="1362">
                  <c:v>45036</c:v>
                </c:pt>
                <c:pt idx="1363">
                  <c:v>45037</c:v>
                </c:pt>
                <c:pt idx="1364">
                  <c:v>45040</c:v>
                </c:pt>
                <c:pt idx="1365">
                  <c:v>45041</c:v>
                </c:pt>
                <c:pt idx="1366">
                  <c:v>45042</c:v>
                </c:pt>
                <c:pt idx="1367">
                  <c:v>45043</c:v>
                </c:pt>
                <c:pt idx="1368">
                  <c:v>45044</c:v>
                </c:pt>
                <c:pt idx="1369">
                  <c:v>45047</c:v>
                </c:pt>
                <c:pt idx="1370">
                  <c:v>45048</c:v>
                </c:pt>
                <c:pt idx="1371">
                  <c:v>45049</c:v>
                </c:pt>
                <c:pt idx="1372">
                  <c:v>45050</c:v>
                </c:pt>
                <c:pt idx="1373">
                  <c:v>45051</c:v>
                </c:pt>
                <c:pt idx="1374">
                  <c:v>45054</c:v>
                </c:pt>
                <c:pt idx="1375">
                  <c:v>45055</c:v>
                </c:pt>
                <c:pt idx="1376">
                  <c:v>45056</c:v>
                </c:pt>
                <c:pt idx="1377">
                  <c:v>45057</c:v>
                </c:pt>
                <c:pt idx="1378">
                  <c:v>45058</c:v>
                </c:pt>
                <c:pt idx="1379">
                  <c:v>45061</c:v>
                </c:pt>
                <c:pt idx="1380">
                  <c:v>45062</c:v>
                </c:pt>
                <c:pt idx="1381">
                  <c:v>45063</c:v>
                </c:pt>
                <c:pt idx="1382">
                  <c:v>45064</c:v>
                </c:pt>
                <c:pt idx="1383">
                  <c:v>45065</c:v>
                </c:pt>
                <c:pt idx="1384">
                  <c:v>45068</c:v>
                </c:pt>
                <c:pt idx="1385">
                  <c:v>45069</c:v>
                </c:pt>
                <c:pt idx="1386">
                  <c:v>45070</c:v>
                </c:pt>
                <c:pt idx="1387">
                  <c:v>45071</c:v>
                </c:pt>
                <c:pt idx="1388">
                  <c:v>45072</c:v>
                </c:pt>
                <c:pt idx="1389">
                  <c:v>45075</c:v>
                </c:pt>
                <c:pt idx="1390">
                  <c:v>45076</c:v>
                </c:pt>
                <c:pt idx="1391">
                  <c:v>45077</c:v>
                </c:pt>
                <c:pt idx="1392">
                  <c:v>45078</c:v>
                </c:pt>
                <c:pt idx="1393">
                  <c:v>45079</c:v>
                </c:pt>
                <c:pt idx="1394">
                  <c:v>45082</c:v>
                </c:pt>
                <c:pt idx="1395">
                  <c:v>45083</c:v>
                </c:pt>
                <c:pt idx="1396">
                  <c:v>45084</c:v>
                </c:pt>
                <c:pt idx="1397">
                  <c:v>45085</c:v>
                </c:pt>
                <c:pt idx="1398">
                  <c:v>45086</c:v>
                </c:pt>
                <c:pt idx="1399">
                  <c:v>45089</c:v>
                </c:pt>
                <c:pt idx="1400">
                  <c:v>45090</c:v>
                </c:pt>
                <c:pt idx="1401">
                  <c:v>45091</c:v>
                </c:pt>
                <c:pt idx="1402">
                  <c:v>45092</c:v>
                </c:pt>
                <c:pt idx="1403">
                  <c:v>45093</c:v>
                </c:pt>
                <c:pt idx="1404">
                  <c:v>45096</c:v>
                </c:pt>
                <c:pt idx="1405">
                  <c:v>45097</c:v>
                </c:pt>
                <c:pt idx="1406">
                  <c:v>45098</c:v>
                </c:pt>
                <c:pt idx="1407">
                  <c:v>45099</c:v>
                </c:pt>
                <c:pt idx="1408">
                  <c:v>45100</c:v>
                </c:pt>
                <c:pt idx="1409">
                  <c:v>45103</c:v>
                </c:pt>
                <c:pt idx="1410">
                  <c:v>45104</c:v>
                </c:pt>
                <c:pt idx="1411">
                  <c:v>45105</c:v>
                </c:pt>
                <c:pt idx="1412">
                  <c:v>45106</c:v>
                </c:pt>
                <c:pt idx="1413">
                  <c:v>45107</c:v>
                </c:pt>
                <c:pt idx="1414">
                  <c:v>45110</c:v>
                </c:pt>
                <c:pt idx="1415">
                  <c:v>45111</c:v>
                </c:pt>
                <c:pt idx="1416">
                  <c:v>45112</c:v>
                </c:pt>
                <c:pt idx="1417">
                  <c:v>45113</c:v>
                </c:pt>
                <c:pt idx="1418">
                  <c:v>45114</c:v>
                </c:pt>
                <c:pt idx="1419">
                  <c:v>45117</c:v>
                </c:pt>
                <c:pt idx="1420">
                  <c:v>45118</c:v>
                </c:pt>
                <c:pt idx="1421">
                  <c:v>45119</c:v>
                </c:pt>
                <c:pt idx="1422">
                  <c:v>45120</c:v>
                </c:pt>
                <c:pt idx="1423">
                  <c:v>45121</c:v>
                </c:pt>
                <c:pt idx="1424">
                  <c:v>45124</c:v>
                </c:pt>
                <c:pt idx="1425">
                  <c:v>45125</c:v>
                </c:pt>
                <c:pt idx="1426">
                  <c:v>45126</c:v>
                </c:pt>
                <c:pt idx="1427">
                  <c:v>45127</c:v>
                </c:pt>
                <c:pt idx="1428">
                  <c:v>45128</c:v>
                </c:pt>
                <c:pt idx="1429">
                  <c:v>45131</c:v>
                </c:pt>
                <c:pt idx="1430">
                  <c:v>45132</c:v>
                </c:pt>
                <c:pt idx="1431">
                  <c:v>45133</c:v>
                </c:pt>
                <c:pt idx="1432">
                  <c:v>45134</c:v>
                </c:pt>
                <c:pt idx="1433">
                  <c:v>45135</c:v>
                </c:pt>
                <c:pt idx="1434">
                  <c:v>45138</c:v>
                </c:pt>
                <c:pt idx="1435">
                  <c:v>45139</c:v>
                </c:pt>
                <c:pt idx="1436">
                  <c:v>45140</c:v>
                </c:pt>
                <c:pt idx="1437">
                  <c:v>45141</c:v>
                </c:pt>
                <c:pt idx="1438">
                  <c:v>45142</c:v>
                </c:pt>
                <c:pt idx="1439">
                  <c:v>45145</c:v>
                </c:pt>
                <c:pt idx="1440">
                  <c:v>45146</c:v>
                </c:pt>
                <c:pt idx="1441">
                  <c:v>45147</c:v>
                </c:pt>
                <c:pt idx="1442">
                  <c:v>45148</c:v>
                </c:pt>
                <c:pt idx="1443">
                  <c:v>45149</c:v>
                </c:pt>
                <c:pt idx="1444">
                  <c:v>45152</c:v>
                </c:pt>
                <c:pt idx="1445">
                  <c:v>45153</c:v>
                </c:pt>
                <c:pt idx="1446">
                  <c:v>45154</c:v>
                </c:pt>
                <c:pt idx="1447">
                  <c:v>45155</c:v>
                </c:pt>
                <c:pt idx="1448">
                  <c:v>45156</c:v>
                </c:pt>
                <c:pt idx="1449">
                  <c:v>45159</c:v>
                </c:pt>
                <c:pt idx="1450">
                  <c:v>45160</c:v>
                </c:pt>
                <c:pt idx="1451">
                  <c:v>45161</c:v>
                </c:pt>
                <c:pt idx="1452">
                  <c:v>45162</c:v>
                </c:pt>
                <c:pt idx="1453">
                  <c:v>45163</c:v>
                </c:pt>
                <c:pt idx="1454">
                  <c:v>45166</c:v>
                </c:pt>
                <c:pt idx="1455">
                  <c:v>45167</c:v>
                </c:pt>
                <c:pt idx="1456">
                  <c:v>45168</c:v>
                </c:pt>
                <c:pt idx="1457">
                  <c:v>45169</c:v>
                </c:pt>
                <c:pt idx="1458">
                  <c:v>45170</c:v>
                </c:pt>
                <c:pt idx="1459">
                  <c:v>45173</c:v>
                </c:pt>
                <c:pt idx="1460">
                  <c:v>45174</c:v>
                </c:pt>
                <c:pt idx="1461">
                  <c:v>45175</c:v>
                </c:pt>
                <c:pt idx="1462">
                  <c:v>45176</c:v>
                </c:pt>
                <c:pt idx="1463">
                  <c:v>45177</c:v>
                </c:pt>
                <c:pt idx="1464">
                  <c:v>45180</c:v>
                </c:pt>
                <c:pt idx="1465">
                  <c:v>45181</c:v>
                </c:pt>
                <c:pt idx="1466">
                  <c:v>45182</c:v>
                </c:pt>
                <c:pt idx="1467">
                  <c:v>45183</c:v>
                </c:pt>
                <c:pt idx="1468">
                  <c:v>45184</c:v>
                </c:pt>
                <c:pt idx="1469">
                  <c:v>45187</c:v>
                </c:pt>
                <c:pt idx="1470">
                  <c:v>45188</c:v>
                </c:pt>
                <c:pt idx="1471">
                  <c:v>45189</c:v>
                </c:pt>
                <c:pt idx="1472">
                  <c:v>45190</c:v>
                </c:pt>
                <c:pt idx="1473">
                  <c:v>45191</c:v>
                </c:pt>
                <c:pt idx="1474">
                  <c:v>45194</c:v>
                </c:pt>
                <c:pt idx="1475">
                  <c:v>45195</c:v>
                </c:pt>
                <c:pt idx="1476">
                  <c:v>45196</c:v>
                </c:pt>
                <c:pt idx="1477">
                  <c:v>45197</c:v>
                </c:pt>
                <c:pt idx="1478">
                  <c:v>45198</c:v>
                </c:pt>
                <c:pt idx="1479">
                  <c:v>45201</c:v>
                </c:pt>
                <c:pt idx="1480">
                  <c:v>45202</c:v>
                </c:pt>
                <c:pt idx="1481">
                  <c:v>45203</c:v>
                </c:pt>
                <c:pt idx="1482">
                  <c:v>45204</c:v>
                </c:pt>
                <c:pt idx="1483">
                  <c:v>45205</c:v>
                </c:pt>
                <c:pt idx="1484">
                  <c:v>45208</c:v>
                </c:pt>
                <c:pt idx="1485">
                  <c:v>45209</c:v>
                </c:pt>
                <c:pt idx="1486">
                  <c:v>45210</c:v>
                </c:pt>
                <c:pt idx="1487">
                  <c:v>45211</c:v>
                </c:pt>
                <c:pt idx="1488">
                  <c:v>45212</c:v>
                </c:pt>
                <c:pt idx="1489">
                  <c:v>45215</c:v>
                </c:pt>
                <c:pt idx="1490">
                  <c:v>45216</c:v>
                </c:pt>
                <c:pt idx="1491">
                  <c:v>45217</c:v>
                </c:pt>
                <c:pt idx="1492">
                  <c:v>45218</c:v>
                </c:pt>
                <c:pt idx="1493">
                  <c:v>45219</c:v>
                </c:pt>
                <c:pt idx="1494">
                  <c:v>45222</c:v>
                </c:pt>
                <c:pt idx="1495">
                  <c:v>45223</c:v>
                </c:pt>
                <c:pt idx="1496">
                  <c:v>45224</c:v>
                </c:pt>
                <c:pt idx="1497">
                  <c:v>45225</c:v>
                </c:pt>
                <c:pt idx="1498">
                  <c:v>45226</c:v>
                </c:pt>
                <c:pt idx="1499">
                  <c:v>45229</c:v>
                </c:pt>
                <c:pt idx="1500">
                  <c:v>45230</c:v>
                </c:pt>
                <c:pt idx="1501">
                  <c:v>45231</c:v>
                </c:pt>
                <c:pt idx="1502">
                  <c:v>45232</c:v>
                </c:pt>
                <c:pt idx="1503">
                  <c:v>45233</c:v>
                </c:pt>
                <c:pt idx="1504">
                  <c:v>45236</c:v>
                </c:pt>
                <c:pt idx="1505">
                  <c:v>45237</c:v>
                </c:pt>
                <c:pt idx="1506">
                  <c:v>45238</c:v>
                </c:pt>
                <c:pt idx="1507">
                  <c:v>45239</c:v>
                </c:pt>
                <c:pt idx="1508">
                  <c:v>45240</c:v>
                </c:pt>
                <c:pt idx="1509">
                  <c:v>45243</c:v>
                </c:pt>
                <c:pt idx="1510">
                  <c:v>45244</c:v>
                </c:pt>
                <c:pt idx="1511">
                  <c:v>45245</c:v>
                </c:pt>
                <c:pt idx="1512">
                  <c:v>45246</c:v>
                </c:pt>
                <c:pt idx="1513">
                  <c:v>45247</c:v>
                </c:pt>
                <c:pt idx="1514">
                  <c:v>45250</c:v>
                </c:pt>
                <c:pt idx="1515">
                  <c:v>45254</c:v>
                </c:pt>
                <c:pt idx="1516">
                  <c:v>45257</c:v>
                </c:pt>
                <c:pt idx="1517">
                  <c:v>45258</c:v>
                </c:pt>
                <c:pt idx="1518">
                  <c:v>45259</c:v>
                </c:pt>
                <c:pt idx="1519">
                  <c:v>45260</c:v>
                </c:pt>
                <c:pt idx="1520">
                  <c:v>45261</c:v>
                </c:pt>
                <c:pt idx="1521">
                  <c:v>45264</c:v>
                </c:pt>
                <c:pt idx="1522">
                  <c:v>45265</c:v>
                </c:pt>
                <c:pt idx="1523">
                  <c:v>45266</c:v>
                </c:pt>
                <c:pt idx="1524">
                  <c:v>45267</c:v>
                </c:pt>
                <c:pt idx="1525">
                  <c:v>45268</c:v>
                </c:pt>
                <c:pt idx="1526">
                  <c:v>45271</c:v>
                </c:pt>
                <c:pt idx="1527">
                  <c:v>45272</c:v>
                </c:pt>
                <c:pt idx="1528">
                  <c:v>45273</c:v>
                </c:pt>
                <c:pt idx="1529">
                  <c:v>45274</c:v>
                </c:pt>
                <c:pt idx="1530">
                  <c:v>45275</c:v>
                </c:pt>
                <c:pt idx="1531">
                  <c:v>45278</c:v>
                </c:pt>
                <c:pt idx="1532">
                  <c:v>45279</c:v>
                </c:pt>
                <c:pt idx="1533">
                  <c:v>45280</c:v>
                </c:pt>
                <c:pt idx="1534">
                  <c:v>45281</c:v>
                </c:pt>
                <c:pt idx="1535">
                  <c:v>45282</c:v>
                </c:pt>
                <c:pt idx="1536">
                  <c:v>45285</c:v>
                </c:pt>
                <c:pt idx="1537">
                  <c:v>45286</c:v>
                </c:pt>
                <c:pt idx="1538">
                  <c:v>45287</c:v>
                </c:pt>
                <c:pt idx="1539">
                  <c:v>45288</c:v>
                </c:pt>
                <c:pt idx="1540">
                  <c:v>45289</c:v>
                </c:pt>
                <c:pt idx="1541">
                  <c:v>45292</c:v>
                </c:pt>
                <c:pt idx="1542">
                  <c:v>45293</c:v>
                </c:pt>
                <c:pt idx="1543">
                  <c:v>45294</c:v>
                </c:pt>
                <c:pt idx="1544">
                  <c:v>45295</c:v>
                </c:pt>
                <c:pt idx="1545">
                  <c:v>45296</c:v>
                </c:pt>
                <c:pt idx="1546">
                  <c:v>45299</c:v>
                </c:pt>
                <c:pt idx="1547">
                  <c:v>45300</c:v>
                </c:pt>
                <c:pt idx="1548">
                  <c:v>45301</c:v>
                </c:pt>
                <c:pt idx="1549">
                  <c:v>45302</c:v>
                </c:pt>
                <c:pt idx="1550">
                  <c:v>45303</c:v>
                </c:pt>
                <c:pt idx="1551">
                  <c:v>45306</c:v>
                </c:pt>
                <c:pt idx="1552">
                  <c:v>45307</c:v>
                </c:pt>
                <c:pt idx="1553">
                  <c:v>45308</c:v>
                </c:pt>
                <c:pt idx="1554">
                  <c:v>45309</c:v>
                </c:pt>
                <c:pt idx="1555">
                  <c:v>45310</c:v>
                </c:pt>
                <c:pt idx="1556">
                  <c:v>45313</c:v>
                </c:pt>
                <c:pt idx="1557">
                  <c:v>45314</c:v>
                </c:pt>
                <c:pt idx="1558">
                  <c:v>45315</c:v>
                </c:pt>
                <c:pt idx="1559">
                  <c:v>45316</c:v>
                </c:pt>
                <c:pt idx="1560">
                  <c:v>45317</c:v>
                </c:pt>
                <c:pt idx="1561">
                  <c:v>45320</c:v>
                </c:pt>
                <c:pt idx="1562">
                  <c:v>45321</c:v>
                </c:pt>
                <c:pt idx="1563">
                  <c:v>45322</c:v>
                </c:pt>
                <c:pt idx="1564">
                  <c:v>45323</c:v>
                </c:pt>
                <c:pt idx="1565">
                  <c:v>45324</c:v>
                </c:pt>
                <c:pt idx="1566">
                  <c:v>45327</c:v>
                </c:pt>
                <c:pt idx="1567">
                  <c:v>45328</c:v>
                </c:pt>
                <c:pt idx="1568">
                  <c:v>45329</c:v>
                </c:pt>
                <c:pt idx="1569">
                  <c:v>45330</c:v>
                </c:pt>
                <c:pt idx="1570">
                  <c:v>45331</c:v>
                </c:pt>
                <c:pt idx="1571">
                  <c:v>45334</c:v>
                </c:pt>
                <c:pt idx="1572">
                  <c:v>45335</c:v>
                </c:pt>
                <c:pt idx="1573">
                  <c:v>45336</c:v>
                </c:pt>
                <c:pt idx="1574">
                  <c:v>45337</c:v>
                </c:pt>
                <c:pt idx="1575">
                  <c:v>45338</c:v>
                </c:pt>
                <c:pt idx="1576">
                  <c:v>45341</c:v>
                </c:pt>
                <c:pt idx="1577">
                  <c:v>45342</c:v>
                </c:pt>
                <c:pt idx="1578">
                  <c:v>45343</c:v>
                </c:pt>
                <c:pt idx="1579">
                  <c:v>45344</c:v>
                </c:pt>
                <c:pt idx="1580">
                  <c:v>45345</c:v>
                </c:pt>
                <c:pt idx="1581">
                  <c:v>45348</c:v>
                </c:pt>
                <c:pt idx="1582">
                  <c:v>45349</c:v>
                </c:pt>
                <c:pt idx="1583">
                  <c:v>45350</c:v>
                </c:pt>
                <c:pt idx="1584">
                  <c:v>45351</c:v>
                </c:pt>
                <c:pt idx="1585">
                  <c:v>45352</c:v>
                </c:pt>
                <c:pt idx="1586">
                  <c:v>45355</c:v>
                </c:pt>
                <c:pt idx="1587">
                  <c:v>45356</c:v>
                </c:pt>
                <c:pt idx="1588">
                  <c:v>45357</c:v>
                </c:pt>
                <c:pt idx="1589">
                  <c:v>45358</c:v>
                </c:pt>
                <c:pt idx="1590">
                  <c:v>45359</c:v>
                </c:pt>
                <c:pt idx="1591">
                  <c:v>45362</c:v>
                </c:pt>
                <c:pt idx="1592">
                  <c:v>45363</c:v>
                </c:pt>
                <c:pt idx="1593">
                  <c:v>45364</c:v>
                </c:pt>
                <c:pt idx="1594">
                  <c:v>45365</c:v>
                </c:pt>
                <c:pt idx="1595">
                  <c:v>45366</c:v>
                </c:pt>
                <c:pt idx="1596">
                  <c:v>45369</c:v>
                </c:pt>
                <c:pt idx="1597">
                  <c:v>45370</c:v>
                </c:pt>
                <c:pt idx="1598">
                  <c:v>45371</c:v>
                </c:pt>
                <c:pt idx="1599">
                  <c:v>45372</c:v>
                </c:pt>
                <c:pt idx="1600">
                  <c:v>45373</c:v>
                </c:pt>
                <c:pt idx="1601">
                  <c:v>45376</c:v>
                </c:pt>
                <c:pt idx="1602">
                  <c:v>45377</c:v>
                </c:pt>
                <c:pt idx="1603">
                  <c:v>45378</c:v>
                </c:pt>
                <c:pt idx="1604">
                  <c:v>45379</c:v>
                </c:pt>
                <c:pt idx="1605">
                  <c:v>45380</c:v>
                </c:pt>
                <c:pt idx="1606">
                  <c:v>45383</c:v>
                </c:pt>
                <c:pt idx="1607">
                  <c:v>45384</c:v>
                </c:pt>
                <c:pt idx="1608">
                  <c:v>45385</c:v>
                </c:pt>
                <c:pt idx="1609">
                  <c:v>45386</c:v>
                </c:pt>
                <c:pt idx="1610">
                  <c:v>45387</c:v>
                </c:pt>
                <c:pt idx="1611">
                  <c:v>45390</c:v>
                </c:pt>
                <c:pt idx="1612">
                  <c:v>45391</c:v>
                </c:pt>
                <c:pt idx="1613">
                  <c:v>45392</c:v>
                </c:pt>
                <c:pt idx="1614">
                  <c:v>45393</c:v>
                </c:pt>
                <c:pt idx="1615">
                  <c:v>45394</c:v>
                </c:pt>
                <c:pt idx="1616">
                  <c:v>45397</c:v>
                </c:pt>
                <c:pt idx="1617">
                  <c:v>45398</c:v>
                </c:pt>
                <c:pt idx="1618">
                  <c:v>45399</c:v>
                </c:pt>
                <c:pt idx="1619">
                  <c:v>45400</c:v>
                </c:pt>
                <c:pt idx="1620">
                  <c:v>45401</c:v>
                </c:pt>
                <c:pt idx="1621">
                  <c:v>45404</c:v>
                </c:pt>
                <c:pt idx="1622">
                  <c:v>45405</c:v>
                </c:pt>
                <c:pt idx="1623">
                  <c:v>45406</c:v>
                </c:pt>
                <c:pt idx="1624">
                  <c:v>45407</c:v>
                </c:pt>
                <c:pt idx="1625">
                  <c:v>45408</c:v>
                </c:pt>
                <c:pt idx="1626">
                  <c:v>45411</c:v>
                </c:pt>
                <c:pt idx="1627">
                  <c:v>45412</c:v>
                </c:pt>
                <c:pt idx="1628">
                  <c:v>45413</c:v>
                </c:pt>
                <c:pt idx="1629">
                  <c:v>45414</c:v>
                </c:pt>
                <c:pt idx="1630">
                  <c:v>45415</c:v>
                </c:pt>
                <c:pt idx="1631">
                  <c:v>45418</c:v>
                </c:pt>
                <c:pt idx="1632">
                  <c:v>45419</c:v>
                </c:pt>
                <c:pt idx="1633">
                  <c:v>45420</c:v>
                </c:pt>
                <c:pt idx="1634">
                  <c:v>45421</c:v>
                </c:pt>
                <c:pt idx="1635">
                  <c:v>45422</c:v>
                </c:pt>
                <c:pt idx="1636">
                  <c:v>45425</c:v>
                </c:pt>
                <c:pt idx="1637">
                  <c:v>45426</c:v>
                </c:pt>
                <c:pt idx="1638">
                  <c:v>45427</c:v>
                </c:pt>
                <c:pt idx="1639">
                  <c:v>45428</c:v>
                </c:pt>
                <c:pt idx="1640">
                  <c:v>45429</c:v>
                </c:pt>
                <c:pt idx="1641">
                  <c:v>45432</c:v>
                </c:pt>
                <c:pt idx="1642">
                  <c:v>45433</c:v>
                </c:pt>
                <c:pt idx="1643">
                  <c:v>45434</c:v>
                </c:pt>
                <c:pt idx="1644">
                  <c:v>45435</c:v>
                </c:pt>
                <c:pt idx="1645">
                  <c:v>45436</c:v>
                </c:pt>
                <c:pt idx="1646">
                  <c:v>45439</c:v>
                </c:pt>
                <c:pt idx="1647">
                  <c:v>45440</c:v>
                </c:pt>
                <c:pt idx="1648">
                  <c:v>45441</c:v>
                </c:pt>
                <c:pt idx="1649">
                  <c:v>45442</c:v>
                </c:pt>
                <c:pt idx="1650">
                  <c:v>45443</c:v>
                </c:pt>
                <c:pt idx="1651">
                  <c:v>45446</c:v>
                </c:pt>
                <c:pt idx="1652">
                  <c:v>45447</c:v>
                </c:pt>
                <c:pt idx="1653">
                  <c:v>45448</c:v>
                </c:pt>
                <c:pt idx="1654">
                  <c:v>45449</c:v>
                </c:pt>
                <c:pt idx="1655">
                  <c:v>45450</c:v>
                </c:pt>
                <c:pt idx="1656">
                  <c:v>45453</c:v>
                </c:pt>
                <c:pt idx="1657">
                  <c:v>45454</c:v>
                </c:pt>
                <c:pt idx="1658">
                  <c:v>45455</c:v>
                </c:pt>
                <c:pt idx="1659">
                  <c:v>45456</c:v>
                </c:pt>
                <c:pt idx="1660">
                  <c:v>45457</c:v>
                </c:pt>
                <c:pt idx="1661">
                  <c:v>45460</c:v>
                </c:pt>
                <c:pt idx="1662">
                  <c:v>45461</c:v>
                </c:pt>
                <c:pt idx="1663">
                  <c:v>45462</c:v>
                </c:pt>
                <c:pt idx="1664">
                  <c:v>45463</c:v>
                </c:pt>
                <c:pt idx="1665">
                  <c:v>45464</c:v>
                </c:pt>
                <c:pt idx="1666">
                  <c:v>45467</c:v>
                </c:pt>
                <c:pt idx="1667">
                  <c:v>45468</c:v>
                </c:pt>
                <c:pt idx="1668">
                  <c:v>45469</c:v>
                </c:pt>
                <c:pt idx="1669">
                  <c:v>45470</c:v>
                </c:pt>
                <c:pt idx="1670">
                  <c:v>45471</c:v>
                </c:pt>
                <c:pt idx="1671">
                  <c:v>45474</c:v>
                </c:pt>
                <c:pt idx="1672">
                  <c:v>45475</c:v>
                </c:pt>
                <c:pt idx="1673">
                  <c:v>45476</c:v>
                </c:pt>
                <c:pt idx="1674">
                  <c:v>45477</c:v>
                </c:pt>
                <c:pt idx="1675">
                  <c:v>45478</c:v>
                </c:pt>
                <c:pt idx="1676">
                  <c:v>45481</c:v>
                </c:pt>
                <c:pt idx="1677">
                  <c:v>45482</c:v>
                </c:pt>
                <c:pt idx="1678">
                  <c:v>45483</c:v>
                </c:pt>
                <c:pt idx="1679">
                  <c:v>45484</c:v>
                </c:pt>
                <c:pt idx="1680">
                  <c:v>45485</c:v>
                </c:pt>
                <c:pt idx="1681">
                  <c:v>45488</c:v>
                </c:pt>
                <c:pt idx="1682">
                  <c:v>45489</c:v>
                </c:pt>
                <c:pt idx="1683">
                  <c:v>45490</c:v>
                </c:pt>
                <c:pt idx="1684">
                  <c:v>45491</c:v>
                </c:pt>
                <c:pt idx="1685">
                  <c:v>45492</c:v>
                </c:pt>
                <c:pt idx="1686">
                  <c:v>45495</c:v>
                </c:pt>
                <c:pt idx="1687">
                  <c:v>45496</c:v>
                </c:pt>
                <c:pt idx="1688">
                  <c:v>45497</c:v>
                </c:pt>
                <c:pt idx="1689">
                  <c:v>45498</c:v>
                </c:pt>
                <c:pt idx="1690">
                  <c:v>45499</c:v>
                </c:pt>
                <c:pt idx="1691">
                  <c:v>45502</c:v>
                </c:pt>
                <c:pt idx="1692">
                  <c:v>45503</c:v>
                </c:pt>
                <c:pt idx="1693">
                  <c:v>45504</c:v>
                </c:pt>
                <c:pt idx="1694">
                  <c:v>45505</c:v>
                </c:pt>
                <c:pt idx="1695">
                  <c:v>45506</c:v>
                </c:pt>
                <c:pt idx="1696">
                  <c:v>45509</c:v>
                </c:pt>
                <c:pt idx="1697">
                  <c:v>45510</c:v>
                </c:pt>
                <c:pt idx="1698">
                  <c:v>45511</c:v>
                </c:pt>
                <c:pt idx="1699">
                  <c:v>45512</c:v>
                </c:pt>
                <c:pt idx="1700">
                  <c:v>45513</c:v>
                </c:pt>
                <c:pt idx="1701">
                  <c:v>45516</c:v>
                </c:pt>
                <c:pt idx="1702">
                  <c:v>45517</c:v>
                </c:pt>
                <c:pt idx="1703">
                  <c:v>45518</c:v>
                </c:pt>
                <c:pt idx="1704">
                  <c:v>45519</c:v>
                </c:pt>
                <c:pt idx="1705">
                  <c:v>45520</c:v>
                </c:pt>
                <c:pt idx="1706">
                  <c:v>45523</c:v>
                </c:pt>
                <c:pt idx="1707">
                  <c:v>45524</c:v>
                </c:pt>
                <c:pt idx="1708">
                  <c:v>45525</c:v>
                </c:pt>
                <c:pt idx="1709">
                  <c:v>45526</c:v>
                </c:pt>
                <c:pt idx="1710">
                  <c:v>45527</c:v>
                </c:pt>
                <c:pt idx="1711">
                  <c:v>45530</c:v>
                </c:pt>
                <c:pt idx="1712">
                  <c:v>45531</c:v>
                </c:pt>
                <c:pt idx="1713">
                  <c:v>45532</c:v>
                </c:pt>
                <c:pt idx="1714">
                  <c:v>45533</c:v>
                </c:pt>
                <c:pt idx="1715">
                  <c:v>45534</c:v>
                </c:pt>
                <c:pt idx="1716">
                  <c:v>45537</c:v>
                </c:pt>
                <c:pt idx="1717">
                  <c:v>45538</c:v>
                </c:pt>
                <c:pt idx="1718">
                  <c:v>45539</c:v>
                </c:pt>
                <c:pt idx="1719">
                  <c:v>45540</c:v>
                </c:pt>
                <c:pt idx="1720">
                  <c:v>45541</c:v>
                </c:pt>
                <c:pt idx="1721">
                  <c:v>45544</c:v>
                </c:pt>
                <c:pt idx="1722">
                  <c:v>45545</c:v>
                </c:pt>
              </c:numCache>
            </c:numRef>
          </c:cat>
          <c:val>
            <c:numRef>
              <c:f>'Sugar price'!$B$17:$B$1739</c:f>
              <c:numCache>
                <c:formatCode>General</c:formatCode>
                <c:ptCount val="1723"/>
                <c:pt idx="0">
                  <c:v>0.15329999999999999</c:v>
                </c:pt>
                <c:pt idx="1">
                  <c:v>0.15310000000000001</c:v>
                </c:pt>
                <c:pt idx="2">
                  <c:v>0.1525</c:v>
                </c:pt>
                <c:pt idx="3">
                  <c:v>0.15079999999999999</c:v>
                </c:pt>
                <c:pt idx="4">
                  <c:v>0.14779999999999999</c:v>
                </c:pt>
                <c:pt idx="5">
                  <c:v>0.14729999999999999</c:v>
                </c:pt>
                <c:pt idx="6">
                  <c:v>0.14649999999999999</c:v>
                </c:pt>
                <c:pt idx="7">
                  <c:v>0.14180000000000001</c:v>
                </c:pt>
                <c:pt idx="8">
                  <c:v>0.14180000000000001</c:v>
                </c:pt>
                <c:pt idx="9">
                  <c:v>0.13589999999999999</c:v>
                </c:pt>
                <c:pt idx="10">
                  <c:v>0.13420000000000001</c:v>
                </c:pt>
                <c:pt idx="11">
                  <c:v>0.1308</c:v>
                </c:pt>
                <c:pt idx="12">
                  <c:v>0.13250000000000001</c:v>
                </c:pt>
                <c:pt idx="13">
                  <c:v>0.13170000000000001</c:v>
                </c:pt>
                <c:pt idx="14">
                  <c:v>0.13189999999999999</c:v>
                </c:pt>
                <c:pt idx="15">
                  <c:v>0.13159999999999999</c:v>
                </c:pt>
                <c:pt idx="16">
                  <c:v>0.13239999999999999</c:v>
                </c:pt>
                <c:pt idx="17">
                  <c:v>0.1336</c:v>
                </c:pt>
                <c:pt idx="18">
                  <c:v>0.13669999999999999</c:v>
                </c:pt>
                <c:pt idx="19">
                  <c:v>0.13719999999999999</c:v>
                </c:pt>
                <c:pt idx="20">
                  <c:v>0.1323</c:v>
                </c:pt>
                <c:pt idx="21">
                  <c:v>0.13370000000000001</c:v>
                </c:pt>
                <c:pt idx="22">
                  <c:v>0.1363</c:v>
                </c:pt>
                <c:pt idx="23">
                  <c:v>0.13900000000000001</c:v>
                </c:pt>
                <c:pt idx="24">
                  <c:v>0.1384</c:v>
                </c:pt>
                <c:pt idx="25">
                  <c:v>0.14000000000000001</c:v>
                </c:pt>
                <c:pt idx="26">
                  <c:v>0.1358</c:v>
                </c:pt>
                <c:pt idx="27">
                  <c:v>0.13669999999999999</c:v>
                </c:pt>
                <c:pt idx="28">
                  <c:v>0.13730000000000001</c:v>
                </c:pt>
                <c:pt idx="29">
                  <c:v>0.1348</c:v>
                </c:pt>
                <c:pt idx="30">
                  <c:v>0.13400000000000001</c:v>
                </c:pt>
                <c:pt idx="31">
                  <c:v>0.13619999999999999</c:v>
                </c:pt>
                <c:pt idx="32">
                  <c:v>0.1338</c:v>
                </c:pt>
                <c:pt idx="33">
                  <c:v>0.1336</c:v>
                </c:pt>
                <c:pt idx="34">
                  <c:v>0.1338</c:v>
                </c:pt>
                <c:pt idx="35">
                  <c:v>0.1371</c:v>
                </c:pt>
                <c:pt idx="36">
                  <c:v>0.13639999999999999</c:v>
                </c:pt>
                <c:pt idx="37">
                  <c:v>0.13569999999999999</c:v>
                </c:pt>
                <c:pt idx="38">
                  <c:v>0.1293</c:v>
                </c:pt>
                <c:pt idx="39">
                  <c:v>0.13400000000000001</c:v>
                </c:pt>
                <c:pt idx="40">
                  <c:v>0.1371</c:v>
                </c:pt>
                <c:pt idx="41">
                  <c:v>0.13420000000000001</c:v>
                </c:pt>
                <c:pt idx="42">
                  <c:v>0.1356</c:v>
                </c:pt>
                <c:pt idx="43">
                  <c:v>0.13450000000000001</c:v>
                </c:pt>
                <c:pt idx="44">
                  <c:v>0.12790000000000001</c:v>
                </c:pt>
                <c:pt idx="45">
                  <c:v>0.12889999999999999</c:v>
                </c:pt>
                <c:pt idx="46">
                  <c:v>0.12839999999999999</c:v>
                </c:pt>
                <c:pt idx="47">
                  <c:v>0.1293</c:v>
                </c:pt>
                <c:pt idx="48">
                  <c:v>0.12620000000000001</c:v>
                </c:pt>
                <c:pt idx="49">
                  <c:v>0.12759999999999999</c:v>
                </c:pt>
                <c:pt idx="50">
                  <c:v>0.12740000000000001</c:v>
                </c:pt>
                <c:pt idx="51">
                  <c:v>0.1265</c:v>
                </c:pt>
                <c:pt idx="52">
                  <c:v>0.12889999999999999</c:v>
                </c:pt>
                <c:pt idx="53">
                  <c:v>0.12559999999999999</c:v>
                </c:pt>
                <c:pt idx="54">
                  <c:v>0.12670000000000001</c:v>
                </c:pt>
                <c:pt idx="55">
                  <c:v>0.12770000000000001</c:v>
                </c:pt>
                <c:pt idx="56">
                  <c:v>0.12570000000000001</c:v>
                </c:pt>
                <c:pt idx="57">
                  <c:v>0.1242</c:v>
                </c:pt>
                <c:pt idx="58">
                  <c:v>0.12540000000000001</c:v>
                </c:pt>
                <c:pt idx="59">
                  <c:v>0.1221</c:v>
                </c:pt>
                <c:pt idx="60">
                  <c:v>0.1235</c:v>
                </c:pt>
                <c:pt idx="61">
                  <c:v>0.12520000000000001</c:v>
                </c:pt>
                <c:pt idx="62">
                  <c:v>0.12470000000000001</c:v>
                </c:pt>
                <c:pt idx="63">
                  <c:v>0.1227</c:v>
                </c:pt>
                <c:pt idx="64">
                  <c:v>0.1235</c:v>
                </c:pt>
                <c:pt idx="65">
                  <c:v>0.1234</c:v>
                </c:pt>
                <c:pt idx="66">
                  <c:v>0.1236</c:v>
                </c:pt>
                <c:pt idx="67">
                  <c:v>0.12130000000000001</c:v>
                </c:pt>
                <c:pt idx="68">
                  <c:v>0.1206</c:v>
                </c:pt>
                <c:pt idx="69">
                  <c:v>0.1205</c:v>
                </c:pt>
                <c:pt idx="70">
                  <c:v>0.1208</c:v>
                </c:pt>
                <c:pt idx="71">
                  <c:v>0.1198</c:v>
                </c:pt>
                <c:pt idx="72">
                  <c:v>0.11650000000000001</c:v>
                </c:pt>
                <c:pt idx="73">
                  <c:v>0.1174</c:v>
                </c:pt>
                <c:pt idx="74">
                  <c:v>0.11749999999999999</c:v>
                </c:pt>
                <c:pt idx="75">
                  <c:v>0.1164</c:v>
                </c:pt>
                <c:pt idx="76">
                  <c:v>0.11210000000000001</c:v>
                </c:pt>
                <c:pt idx="77">
                  <c:v>0.1114</c:v>
                </c:pt>
                <c:pt idx="78">
                  <c:v>0.1091</c:v>
                </c:pt>
                <c:pt idx="79">
                  <c:v>0.1113</c:v>
                </c:pt>
                <c:pt idx="80">
                  <c:v>0.114</c:v>
                </c:pt>
                <c:pt idx="81">
                  <c:v>0.11700000000000001</c:v>
                </c:pt>
                <c:pt idx="82">
                  <c:v>0.1169</c:v>
                </c:pt>
                <c:pt idx="83">
                  <c:v>0.11749999999999999</c:v>
                </c:pt>
                <c:pt idx="84">
                  <c:v>0.1169</c:v>
                </c:pt>
                <c:pt idx="85">
                  <c:v>0.11509999999999999</c:v>
                </c:pt>
                <c:pt idx="86">
                  <c:v>0.1132</c:v>
                </c:pt>
                <c:pt idx="87">
                  <c:v>0.11559999999999999</c:v>
                </c:pt>
                <c:pt idx="88">
                  <c:v>0.1129</c:v>
                </c:pt>
                <c:pt idx="89">
                  <c:v>0.11269999999999999</c:v>
                </c:pt>
                <c:pt idx="90">
                  <c:v>0.11219999999999999</c:v>
                </c:pt>
                <c:pt idx="91">
                  <c:v>0.11260000000000001</c:v>
                </c:pt>
                <c:pt idx="92">
                  <c:v>0.1152</c:v>
                </c:pt>
                <c:pt idx="93">
                  <c:v>0.11609999999999999</c:v>
                </c:pt>
                <c:pt idx="94">
                  <c:v>0.11559999999999999</c:v>
                </c:pt>
                <c:pt idx="95">
                  <c:v>0.1166</c:v>
                </c:pt>
                <c:pt idx="96">
                  <c:v>0.121</c:v>
                </c:pt>
                <c:pt idx="97">
                  <c:v>0.1215</c:v>
                </c:pt>
                <c:pt idx="98">
                  <c:v>0.1235</c:v>
                </c:pt>
                <c:pt idx="99">
                  <c:v>0.12379999999999999</c:v>
                </c:pt>
                <c:pt idx="100">
                  <c:v>0.1246</c:v>
                </c:pt>
                <c:pt idx="101">
                  <c:v>0.1246</c:v>
                </c:pt>
                <c:pt idx="102">
                  <c:v>0.126</c:v>
                </c:pt>
                <c:pt idx="103">
                  <c:v>0.12790000000000001</c:v>
                </c:pt>
                <c:pt idx="104">
                  <c:v>0.12520000000000001</c:v>
                </c:pt>
                <c:pt idx="105">
                  <c:v>0.11899999999999999</c:v>
                </c:pt>
                <c:pt idx="106">
                  <c:v>0.1202</c:v>
                </c:pt>
                <c:pt idx="107">
                  <c:v>0.122</c:v>
                </c:pt>
                <c:pt idx="108">
                  <c:v>0.1173</c:v>
                </c:pt>
                <c:pt idx="109">
                  <c:v>0.1225</c:v>
                </c:pt>
                <c:pt idx="110">
                  <c:v>0.1235</c:v>
                </c:pt>
                <c:pt idx="111">
                  <c:v>0.1235</c:v>
                </c:pt>
                <c:pt idx="112">
                  <c:v>0.12509999999999999</c:v>
                </c:pt>
                <c:pt idx="113">
                  <c:v>0.12230000000000001</c:v>
                </c:pt>
                <c:pt idx="114">
                  <c:v>0.1202</c:v>
                </c:pt>
                <c:pt idx="115">
                  <c:v>0.11990000000000001</c:v>
                </c:pt>
                <c:pt idx="116">
                  <c:v>0.11840000000000001</c:v>
                </c:pt>
                <c:pt idx="117">
                  <c:v>0.11890000000000001</c:v>
                </c:pt>
                <c:pt idx="118">
                  <c:v>0.1187</c:v>
                </c:pt>
                <c:pt idx="119">
                  <c:v>0.1205</c:v>
                </c:pt>
                <c:pt idx="120">
                  <c:v>0.12</c:v>
                </c:pt>
                <c:pt idx="121">
                  <c:v>0.12189999999999999</c:v>
                </c:pt>
                <c:pt idx="122">
                  <c:v>0.11849999999999999</c:v>
                </c:pt>
                <c:pt idx="123">
                  <c:v>0.121</c:v>
                </c:pt>
                <c:pt idx="124">
                  <c:v>0.1217</c:v>
                </c:pt>
                <c:pt idx="125">
                  <c:v>0.11559999999999999</c:v>
                </c:pt>
                <c:pt idx="126">
                  <c:v>0.1139</c:v>
                </c:pt>
                <c:pt idx="127">
                  <c:v>0.1148</c:v>
                </c:pt>
                <c:pt idx="128">
                  <c:v>0.11509999999999999</c:v>
                </c:pt>
                <c:pt idx="129">
                  <c:v>0.114</c:v>
                </c:pt>
                <c:pt idx="130">
                  <c:v>0.11409999999999999</c:v>
                </c:pt>
                <c:pt idx="131">
                  <c:v>0.1129</c:v>
                </c:pt>
                <c:pt idx="132">
                  <c:v>0.1108</c:v>
                </c:pt>
                <c:pt idx="133">
                  <c:v>0.1096</c:v>
                </c:pt>
                <c:pt idx="134">
                  <c:v>0.1114</c:v>
                </c:pt>
                <c:pt idx="135">
                  <c:v>0.1113</c:v>
                </c:pt>
                <c:pt idx="136">
                  <c:v>0.1108</c:v>
                </c:pt>
                <c:pt idx="137">
                  <c:v>0.10970000000000001</c:v>
                </c:pt>
                <c:pt idx="138">
                  <c:v>0.11119999999999999</c:v>
                </c:pt>
                <c:pt idx="139">
                  <c:v>0.1108</c:v>
                </c:pt>
                <c:pt idx="140">
                  <c:v>0.1119</c:v>
                </c:pt>
                <c:pt idx="141">
                  <c:v>0.1119</c:v>
                </c:pt>
                <c:pt idx="142">
                  <c:v>0.1103</c:v>
                </c:pt>
                <c:pt idx="143">
                  <c:v>0.10879999999999999</c:v>
                </c:pt>
                <c:pt idx="144">
                  <c:v>0.1082</c:v>
                </c:pt>
                <c:pt idx="145">
                  <c:v>0.1055</c:v>
                </c:pt>
                <c:pt idx="146">
                  <c:v>0.1048</c:v>
                </c:pt>
                <c:pt idx="147">
                  <c:v>0.10589999999999999</c:v>
                </c:pt>
                <c:pt idx="148">
                  <c:v>0.1085</c:v>
                </c:pt>
                <c:pt idx="149">
                  <c:v>0.10979999999999999</c:v>
                </c:pt>
                <c:pt idx="150">
                  <c:v>0.10879999999999999</c:v>
                </c:pt>
                <c:pt idx="151">
                  <c:v>0.1081</c:v>
                </c:pt>
                <c:pt idx="152">
                  <c:v>0.1084</c:v>
                </c:pt>
                <c:pt idx="153">
                  <c:v>0.10539999999999999</c:v>
                </c:pt>
                <c:pt idx="154">
                  <c:v>0.10299999999999999</c:v>
                </c:pt>
                <c:pt idx="155">
                  <c:v>0.10340000000000001</c:v>
                </c:pt>
                <c:pt idx="156">
                  <c:v>0.1023</c:v>
                </c:pt>
                <c:pt idx="157">
                  <c:v>0.10299999999999999</c:v>
                </c:pt>
                <c:pt idx="158">
                  <c:v>0.1018</c:v>
                </c:pt>
                <c:pt idx="159">
                  <c:v>0.1009</c:v>
                </c:pt>
                <c:pt idx="160">
                  <c:v>0.1017</c:v>
                </c:pt>
                <c:pt idx="161">
                  <c:v>0.1018</c:v>
                </c:pt>
                <c:pt idx="162">
                  <c:v>0.1012</c:v>
                </c:pt>
                <c:pt idx="163">
                  <c:v>0.1023</c:v>
                </c:pt>
                <c:pt idx="164">
                  <c:v>0.1051</c:v>
                </c:pt>
                <c:pt idx="165">
                  <c:v>0.1031</c:v>
                </c:pt>
                <c:pt idx="166">
                  <c:v>0.1037</c:v>
                </c:pt>
                <c:pt idx="167">
                  <c:v>0.1057</c:v>
                </c:pt>
                <c:pt idx="168">
                  <c:v>0.106</c:v>
                </c:pt>
                <c:pt idx="169">
                  <c:v>0.10639999999999999</c:v>
                </c:pt>
                <c:pt idx="170">
                  <c:v>0.1089</c:v>
                </c:pt>
                <c:pt idx="171">
                  <c:v>0.108</c:v>
                </c:pt>
                <c:pt idx="172">
                  <c:v>0.1101</c:v>
                </c:pt>
                <c:pt idx="173">
                  <c:v>0.112</c:v>
                </c:pt>
                <c:pt idx="174">
                  <c:v>0.1118</c:v>
                </c:pt>
                <c:pt idx="175">
                  <c:v>0.1167</c:v>
                </c:pt>
                <c:pt idx="176">
                  <c:v>0.1168</c:v>
                </c:pt>
                <c:pt idx="177">
                  <c:v>0.1116</c:v>
                </c:pt>
                <c:pt idx="178">
                  <c:v>0.10630000000000001</c:v>
                </c:pt>
                <c:pt idx="179">
                  <c:v>0.1052</c:v>
                </c:pt>
                <c:pt idx="180">
                  <c:v>0.1076</c:v>
                </c:pt>
                <c:pt idx="181">
                  <c:v>0.108</c:v>
                </c:pt>
                <c:pt idx="182">
                  <c:v>0.1084</c:v>
                </c:pt>
                <c:pt idx="183">
                  <c:v>0.1038</c:v>
                </c:pt>
                <c:pt idx="184">
                  <c:v>0.1052</c:v>
                </c:pt>
                <c:pt idx="185">
                  <c:v>0.10299999999999999</c:v>
                </c:pt>
                <c:pt idx="186">
                  <c:v>0.1057</c:v>
                </c:pt>
                <c:pt idx="187">
                  <c:v>0.1104</c:v>
                </c:pt>
                <c:pt idx="188">
                  <c:v>0.11609999999999999</c:v>
                </c:pt>
                <c:pt idx="189">
                  <c:v>0.1207</c:v>
                </c:pt>
                <c:pt idx="190">
                  <c:v>0.12230000000000001</c:v>
                </c:pt>
                <c:pt idx="191">
                  <c:v>0.12330000000000001</c:v>
                </c:pt>
                <c:pt idx="192">
                  <c:v>0.1263</c:v>
                </c:pt>
                <c:pt idx="193">
                  <c:v>0.12939999999999999</c:v>
                </c:pt>
                <c:pt idx="194">
                  <c:v>0.12970000000000001</c:v>
                </c:pt>
                <c:pt idx="195">
                  <c:v>0.1285</c:v>
                </c:pt>
                <c:pt idx="196">
                  <c:v>0.12920000000000001</c:v>
                </c:pt>
                <c:pt idx="197">
                  <c:v>0.13070000000000001</c:v>
                </c:pt>
                <c:pt idx="198">
                  <c:v>0.1343</c:v>
                </c:pt>
                <c:pt idx="199">
                  <c:v>0.13250000000000001</c:v>
                </c:pt>
                <c:pt idx="200">
                  <c:v>0.13730000000000001</c:v>
                </c:pt>
                <c:pt idx="201">
                  <c:v>0.13869999999999999</c:v>
                </c:pt>
                <c:pt idx="202">
                  <c:v>0.1389</c:v>
                </c:pt>
                <c:pt idx="203">
                  <c:v>0.13819999999999999</c:v>
                </c:pt>
                <c:pt idx="204">
                  <c:v>0.1381</c:v>
                </c:pt>
                <c:pt idx="205">
                  <c:v>0.1401</c:v>
                </c:pt>
                <c:pt idx="206">
                  <c:v>0.13969999999999999</c:v>
                </c:pt>
                <c:pt idx="207">
                  <c:v>0.1384</c:v>
                </c:pt>
                <c:pt idx="208">
                  <c:v>0.13500000000000001</c:v>
                </c:pt>
                <c:pt idx="209">
                  <c:v>0.13320000000000001</c:v>
                </c:pt>
                <c:pt idx="210">
                  <c:v>0.13189999999999999</c:v>
                </c:pt>
                <c:pt idx="211">
                  <c:v>0.13189999999999999</c:v>
                </c:pt>
                <c:pt idx="212">
                  <c:v>0.13439999999999999</c:v>
                </c:pt>
                <c:pt idx="213">
                  <c:v>0.13150000000000001</c:v>
                </c:pt>
                <c:pt idx="214">
                  <c:v>0.12959999999999999</c:v>
                </c:pt>
                <c:pt idx="215">
                  <c:v>0.13009999999999999</c:v>
                </c:pt>
                <c:pt idx="216">
                  <c:v>0.12839999999999999</c:v>
                </c:pt>
                <c:pt idx="217">
                  <c:v>0.1273</c:v>
                </c:pt>
                <c:pt idx="218">
                  <c:v>0.12939999999999999</c:v>
                </c:pt>
                <c:pt idx="219">
                  <c:v>0.12609999999999999</c:v>
                </c:pt>
                <c:pt idx="220">
                  <c:v>0.1265</c:v>
                </c:pt>
                <c:pt idx="221">
                  <c:v>0.1265</c:v>
                </c:pt>
                <c:pt idx="222">
                  <c:v>0.12690000000000001</c:v>
                </c:pt>
                <c:pt idx="223">
                  <c:v>0.128</c:v>
                </c:pt>
                <c:pt idx="224">
                  <c:v>0.1246</c:v>
                </c:pt>
                <c:pt idx="225">
                  <c:v>0.1268</c:v>
                </c:pt>
                <c:pt idx="226">
                  <c:v>0.12470000000000001</c:v>
                </c:pt>
                <c:pt idx="227">
                  <c:v>0.12479999999999999</c:v>
                </c:pt>
                <c:pt idx="228">
                  <c:v>0.1234</c:v>
                </c:pt>
                <c:pt idx="229">
                  <c:v>0.12839999999999999</c:v>
                </c:pt>
                <c:pt idx="230">
                  <c:v>0.12870000000000001</c:v>
                </c:pt>
                <c:pt idx="231">
                  <c:v>0.12839999999999999</c:v>
                </c:pt>
                <c:pt idx="232">
                  <c:v>0.12909999999999999</c:v>
                </c:pt>
                <c:pt idx="233">
                  <c:v>0.1275</c:v>
                </c:pt>
                <c:pt idx="234">
                  <c:v>0.12720000000000001</c:v>
                </c:pt>
                <c:pt idx="235">
                  <c:v>0.12640000000000001</c:v>
                </c:pt>
                <c:pt idx="236">
                  <c:v>0.12870000000000001</c:v>
                </c:pt>
                <c:pt idx="237">
                  <c:v>0.12720000000000001</c:v>
                </c:pt>
                <c:pt idx="238">
                  <c:v>0.1283</c:v>
                </c:pt>
                <c:pt idx="239">
                  <c:v>0.12740000000000001</c:v>
                </c:pt>
                <c:pt idx="240">
                  <c:v>0.1275</c:v>
                </c:pt>
                <c:pt idx="241">
                  <c:v>0.1265</c:v>
                </c:pt>
                <c:pt idx="242">
                  <c:v>0.1249</c:v>
                </c:pt>
                <c:pt idx="243">
                  <c:v>0.123</c:v>
                </c:pt>
                <c:pt idx="244">
                  <c:v>0.12470000000000001</c:v>
                </c:pt>
                <c:pt idx="245">
                  <c:v>0.12429999999999999</c:v>
                </c:pt>
                <c:pt idx="246">
                  <c:v>0.1234</c:v>
                </c:pt>
                <c:pt idx="247">
                  <c:v>0.124</c:v>
                </c:pt>
                <c:pt idx="248">
                  <c:v>0.1239</c:v>
                </c:pt>
                <c:pt idx="249">
                  <c:v>0.1225</c:v>
                </c:pt>
                <c:pt idx="250">
                  <c:v>0.1239</c:v>
                </c:pt>
                <c:pt idx="251">
                  <c:v>0.1203</c:v>
                </c:pt>
                <c:pt idx="252">
                  <c:v>0.1193</c:v>
                </c:pt>
                <c:pt idx="253">
                  <c:v>0.1169</c:v>
                </c:pt>
                <c:pt idx="254">
                  <c:v>0.1193</c:v>
                </c:pt>
                <c:pt idx="255">
                  <c:v>0.1265</c:v>
                </c:pt>
                <c:pt idx="256">
                  <c:v>0.12759999999999999</c:v>
                </c:pt>
                <c:pt idx="257">
                  <c:v>0.12870000000000001</c:v>
                </c:pt>
                <c:pt idx="258">
                  <c:v>0.12670000000000001</c:v>
                </c:pt>
                <c:pt idx="259">
                  <c:v>0.1278</c:v>
                </c:pt>
                <c:pt idx="260">
                  <c:v>0.1275</c:v>
                </c:pt>
                <c:pt idx="261">
                  <c:v>0.13159999999999999</c:v>
                </c:pt>
                <c:pt idx="262">
                  <c:v>0.13170000000000001</c:v>
                </c:pt>
                <c:pt idx="263">
                  <c:v>0.1285</c:v>
                </c:pt>
                <c:pt idx="264">
                  <c:v>0.1303</c:v>
                </c:pt>
                <c:pt idx="265">
                  <c:v>0.1293</c:v>
                </c:pt>
                <c:pt idx="266">
                  <c:v>0.12970000000000001</c:v>
                </c:pt>
                <c:pt idx="267">
                  <c:v>0.1298</c:v>
                </c:pt>
                <c:pt idx="268">
                  <c:v>0.1244</c:v>
                </c:pt>
                <c:pt idx="269">
                  <c:v>0.12790000000000001</c:v>
                </c:pt>
                <c:pt idx="270">
                  <c:v>0.12690000000000001</c:v>
                </c:pt>
                <c:pt idx="271">
                  <c:v>0.12529999999999999</c:v>
                </c:pt>
                <c:pt idx="272">
                  <c:v>0.1273</c:v>
                </c:pt>
                <c:pt idx="273">
                  <c:v>0.126</c:v>
                </c:pt>
                <c:pt idx="274">
                  <c:v>0.1285</c:v>
                </c:pt>
                <c:pt idx="275">
                  <c:v>0.12820000000000001</c:v>
                </c:pt>
                <c:pt idx="276">
                  <c:v>0.129</c:v>
                </c:pt>
                <c:pt idx="277">
                  <c:v>0.1273</c:v>
                </c:pt>
                <c:pt idx="278">
                  <c:v>0.12709999999999999</c:v>
                </c:pt>
                <c:pt idx="279">
                  <c:v>0.12670000000000001</c:v>
                </c:pt>
                <c:pt idx="280">
                  <c:v>0.1285</c:v>
                </c:pt>
                <c:pt idx="281">
                  <c:v>0.1275</c:v>
                </c:pt>
                <c:pt idx="282">
                  <c:v>0.12609999999999999</c:v>
                </c:pt>
                <c:pt idx="283">
                  <c:v>0.13139999999999999</c:v>
                </c:pt>
                <c:pt idx="284">
                  <c:v>0.13350000000000001</c:v>
                </c:pt>
                <c:pt idx="285">
                  <c:v>0.13439999999999999</c:v>
                </c:pt>
                <c:pt idx="286">
                  <c:v>0.13239999999999999</c:v>
                </c:pt>
                <c:pt idx="287">
                  <c:v>0.13370000000000001</c:v>
                </c:pt>
                <c:pt idx="288">
                  <c:v>0.1308</c:v>
                </c:pt>
                <c:pt idx="289">
                  <c:v>0.12870000000000001</c:v>
                </c:pt>
                <c:pt idx="290">
                  <c:v>0.1295</c:v>
                </c:pt>
                <c:pt idx="291">
                  <c:v>0.12770000000000001</c:v>
                </c:pt>
                <c:pt idx="292">
                  <c:v>0.12620000000000001</c:v>
                </c:pt>
                <c:pt idx="293">
                  <c:v>0.1236</c:v>
                </c:pt>
                <c:pt idx="294">
                  <c:v>0.1244</c:v>
                </c:pt>
                <c:pt idx="295">
                  <c:v>0.1216</c:v>
                </c:pt>
                <c:pt idx="296">
                  <c:v>0.12139999999999999</c:v>
                </c:pt>
                <c:pt idx="297">
                  <c:v>0.12180000000000001</c:v>
                </c:pt>
                <c:pt idx="298">
                  <c:v>0.1229</c:v>
                </c:pt>
                <c:pt idx="299">
                  <c:v>0.12330000000000001</c:v>
                </c:pt>
                <c:pt idx="300">
                  <c:v>0.1236</c:v>
                </c:pt>
                <c:pt idx="301">
                  <c:v>0.1241</c:v>
                </c:pt>
                <c:pt idx="302">
                  <c:v>0.12520000000000001</c:v>
                </c:pt>
                <c:pt idx="303">
                  <c:v>0.12839999999999999</c:v>
                </c:pt>
                <c:pt idx="304">
                  <c:v>0.1278</c:v>
                </c:pt>
                <c:pt idx="305">
                  <c:v>0.12740000000000001</c:v>
                </c:pt>
                <c:pt idx="306">
                  <c:v>0.125</c:v>
                </c:pt>
                <c:pt idx="307">
                  <c:v>0.12570000000000001</c:v>
                </c:pt>
                <c:pt idx="308">
                  <c:v>0.12479999999999999</c:v>
                </c:pt>
                <c:pt idx="309">
                  <c:v>0.12590000000000001</c:v>
                </c:pt>
                <c:pt idx="310">
                  <c:v>0.1258</c:v>
                </c:pt>
                <c:pt idx="311">
                  <c:v>0.12529999999999999</c:v>
                </c:pt>
                <c:pt idx="312">
                  <c:v>0.12529999999999999</c:v>
                </c:pt>
                <c:pt idx="313">
                  <c:v>0.12670000000000001</c:v>
                </c:pt>
                <c:pt idx="314">
                  <c:v>0.12659999999999999</c:v>
                </c:pt>
                <c:pt idx="315">
                  <c:v>0.1242</c:v>
                </c:pt>
                <c:pt idx="316">
                  <c:v>0.12709999999999999</c:v>
                </c:pt>
                <c:pt idx="317">
                  <c:v>0.12759999999999999</c:v>
                </c:pt>
                <c:pt idx="318">
                  <c:v>0.12570000000000001</c:v>
                </c:pt>
                <c:pt idx="319">
                  <c:v>0.1278</c:v>
                </c:pt>
                <c:pt idx="320">
                  <c:v>0.12809999999999999</c:v>
                </c:pt>
                <c:pt idx="321">
                  <c:v>0.12659999999999999</c:v>
                </c:pt>
                <c:pt idx="322">
                  <c:v>0.12770000000000001</c:v>
                </c:pt>
                <c:pt idx="323">
                  <c:v>0.12659999999999999</c:v>
                </c:pt>
                <c:pt idx="324">
                  <c:v>0.12509999999999999</c:v>
                </c:pt>
                <c:pt idx="325">
                  <c:v>0.1235</c:v>
                </c:pt>
                <c:pt idx="326">
                  <c:v>0.12759999999999999</c:v>
                </c:pt>
                <c:pt idx="327">
                  <c:v>0.12540000000000001</c:v>
                </c:pt>
                <c:pt idx="328">
                  <c:v>0.127</c:v>
                </c:pt>
                <c:pt idx="329">
                  <c:v>0.1268</c:v>
                </c:pt>
                <c:pt idx="330">
                  <c:v>0.12429999999999999</c:v>
                </c:pt>
                <c:pt idx="331">
                  <c:v>0.1242</c:v>
                </c:pt>
                <c:pt idx="332">
                  <c:v>0.1205</c:v>
                </c:pt>
                <c:pt idx="333">
                  <c:v>0.1227</c:v>
                </c:pt>
                <c:pt idx="334">
                  <c:v>0.1221</c:v>
                </c:pt>
                <c:pt idx="335">
                  <c:v>0.12230000000000001</c:v>
                </c:pt>
                <c:pt idx="336">
                  <c:v>0.1201</c:v>
                </c:pt>
                <c:pt idx="337">
                  <c:v>0.1188</c:v>
                </c:pt>
                <c:pt idx="338">
                  <c:v>0.1195</c:v>
                </c:pt>
                <c:pt idx="339">
                  <c:v>0.11650000000000001</c:v>
                </c:pt>
                <c:pt idx="340">
                  <c:v>0.1178</c:v>
                </c:pt>
                <c:pt idx="341">
                  <c:v>0.1172</c:v>
                </c:pt>
                <c:pt idx="342">
                  <c:v>0.11840000000000001</c:v>
                </c:pt>
                <c:pt idx="343">
                  <c:v>0.11940000000000001</c:v>
                </c:pt>
                <c:pt idx="344">
                  <c:v>0.11849999999999999</c:v>
                </c:pt>
                <c:pt idx="345">
                  <c:v>0.1178</c:v>
                </c:pt>
                <c:pt idx="346">
                  <c:v>0.11550000000000001</c:v>
                </c:pt>
                <c:pt idx="347">
                  <c:v>0.1162</c:v>
                </c:pt>
                <c:pt idx="348">
                  <c:v>0.1181</c:v>
                </c:pt>
                <c:pt idx="349">
                  <c:v>0.1162</c:v>
                </c:pt>
                <c:pt idx="350">
                  <c:v>0.1157</c:v>
                </c:pt>
                <c:pt idx="351">
                  <c:v>0.1166</c:v>
                </c:pt>
                <c:pt idx="352">
                  <c:v>0.1166</c:v>
                </c:pt>
                <c:pt idx="353">
                  <c:v>0.11749999999999999</c:v>
                </c:pt>
                <c:pt idx="354">
                  <c:v>0.1187</c:v>
                </c:pt>
                <c:pt idx="355">
                  <c:v>0.1176</c:v>
                </c:pt>
                <c:pt idx="356">
                  <c:v>0.121</c:v>
                </c:pt>
                <c:pt idx="357">
                  <c:v>0.12189999999999999</c:v>
                </c:pt>
                <c:pt idx="358">
                  <c:v>0.1242</c:v>
                </c:pt>
                <c:pt idx="359">
                  <c:v>0.1221</c:v>
                </c:pt>
                <c:pt idx="360">
                  <c:v>0.12509999999999999</c:v>
                </c:pt>
                <c:pt idx="361">
                  <c:v>0.125</c:v>
                </c:pt>
                <c:pt idx="362">
                  <c:v>0.124</c:v>
                </c:pt>
                <c:pt idx="363">
                  <c:v>0.12540000000000001</c:v>
                </c:pt>
                <c:pt idx="364">
                  <c:v>0.12620000000000001</c:v>
                </c:pt>
                <c:pt idx="365">
                  <c:v>0.1275</c:v>
                </c:pt>
                <c:pt idx="366">
                  <c:v>0.1275</c:v>
                </c:pt>
                <c:pt idx="367">
                  <c:v>0.12659999999999999</c:v>
                </c:pt>
                <c:pt idx="368">
                  <c:v>0.12609999999999999</c:v>
                </c:pt>
                <c:pt idx="369">
                  <c:v>0.125</c:v>
                </c:pt>
                <c:pt idx="370">
                  <c:v>0.12429999999999999</c:v>
                </c:pt>
                <c:pt idx="371">
                  <c:v>0.1222</c:v>
                </c:pt>
                <c:pt idx="372">
                  <c:v>0.1227</c:v>
                </c:pt>
                <c:pt idx="373">
                  <c:v>0.12379999999999999</c:v>
                </c:pt>
                <c:pt idx="374">
                  <c:v>0.1215</c:v>
                </c:pt>
                <c:pt idx="375">
                  <c:v>0.1268</c:v>
                </c:pt>
                <c:pt idx="376">
                  <c:v>0.12559999999999999</c:v>
                </c:pt>
                <c:pt idx="377">
                  <c:v>0.12570000000000001</c:v>
                </c:pt>
                <c:pt idx="378">
                  <c:v>0.1235</c:v>
                </c:pt>
                <c:pt idx="379">
                  <c:v>0.12540000000000001</c:v>
                </c:pt>
                <c:pt idx="380">
                  <c:v>0.12540000000000001</c:v>
                </c:pt>
                <c:pt idx="381">
                  <c:v>0.1236</c:v>
                </c:pt>
                <c:pt idx="382">
                  <c:v>0.1245</c:v>
                </c:pt>
                <c:pt idx="383">
                  <c:v>0.1235</c:v>
                </c:pt>
                <c:pt idx="384">
                  <c:v>0.125</c:v>
                </c:pt>
                <c:pt idx="385">
                  <c:v>0.12379999999999999</c:v>
                </c:pt>
                <c:pt idx="386">
                  <c:v>0.123</c:v>
                </c:pt>
                <c:pt idx="387">
                  <c:v>0.1206</c:v>
                </c:pt>
                <c:pt idx="388">
                  <c:v>0.11990000000000001</c:v>
                </c:pt>
                <c:pt idx="389">
                  <c:v>0.1179</c:v>
                </c:pt>
                <c:pt idx="390">
                  <c:v>0.11550000000000001</c:v>
                </c:pt>
                <c:pt idx="391">
                  <c:v>0.1159</c:v>
                </c:pt>
                <c:pt idx="392">
                  <c:v>0.11559999999999999</c:v>
                </c:pt>
                <c:pt idx="393">
                  <c:v>0.1198</c:v>
                </c:pt>
                <c:pt idx="394">
                  <c:v>0.1206</c:v>
                </c:pt>
                <c:pt idx="395">
                  <c:v>0.12</c:v>
                </c:pt>
                <c:pt idx="396">
                  <c:v>0.1202</c:v>
                </c:pt>
                <c:pt idx="397">
                  <c:v>0.1207</c:v>
                </c:pt>
                <c:pt idx="398">
                  <c:v>0.1215</c:v>
                </c:pt>
                <c:pt idx="399">
                  <c:v>0.1221</c:v>
                </c:pt>
                <c:pt idx="400">
                  <c:v>0.1212</c:v>
                </c:pt>
                <c:pt idx="401">
                  <c:v>0.1202</c:v>
                </c:pt>
                <c:pt idx="402">
                  <c:v>0.1182</c:v>
                </c:pt>
                <c:pt idx="403">
                  <c:v>0.1173</c:v>
                </c:pt>
                <c:pt idx="404">
                  <c:v>0.1134</c:v>
                </c:pt>
                <c:pt idx="405">
                  <c:v>0.1143</c:v>
                </c:pt>
                <c:pt idx="406">
                  <c:v>0.1186</c:v>
                </c:pt>
                <c:pt idx="407">
                  <c:v>0.11559999999999999</c:v>
                </c:pt>
                <c:pt idx="408">
                  <c:v>0.1172</c:v>
                </c:pt>
                <c:pt idx="409">
                  <c:v>0.11609999999999999</c:v>
                </c:pt>
                <c:pt idx="410">
                  <c:v>0.1163</c:v>
                </c:pt>
                <c:pt idx="411">
                  <c:v>0.1164</c:v>
                </c:pt>
                <c:pt idx="412">
                  <c:v>0.1147</c:v>
                </c:pt>
                <c:pt idx="413">
                  <c:v>0.1144</c:v>
                </c:pt>
                <c:pt idx="414">
                  <c:v>0.1139</c:v>
                </c:pt>
                <c:pt idx="415">
                  <c:v>0.1158</c:v>
                </c:pt>
                <c:pt idx="416">
                  <c:v>0.1147</c:v>
                </c:pt>
                <c:pt idx="417">
                  <c:v>0.1143</c:v>
                </c:pt>
                <c:pt idx="418">
                  <c:v>0.1124</c:v>
                </c:pt>
                <c:pt idx="419">
                  <c:v>0.1137</c:v>
                </c:pt>
                <c:pt idx="420">
                  <c:v>0.11210000000000001</c:v>
                </c:pt>
                <c:pt idx="421">
                  <c:v>0.1114</c:v>
                </c:pt>
                <c:pt idx="422">
                  <c:v>0.1114</c:v>
                </c:pt>
                <c:pt idx="423">
                  <c:v>0.1119</c:v>
                </c:pt>
                <c:pt idx="424">
                  <c:v>0.1101</c:v>
                </c:pt>
                <c:pt idx="425">
                  <c:v>0.10970000000000001</c:v>
                </c:pt>
                <c:pt idx="426">
                  <c:v>0.11020000000000001</c:v>
                </c:pt>
                <c:pt idx="427">
                  <c:v>0.10920000000000001</c:v>
                </c:pt>
                <c:pt idx="428">
                  <c:v>0.10879999999999999</c:v>
                </c:pt>
                <c:pt idx="429">
                  <c:v>0.1081</c:v>
                </c:pt>
                <c:pt idx="430">
                  <c:v>0.1076</c:v>
                </c:pt>
                <c:pt idx="431">
                  <c:v>0.1089</c:v>
                </c:pt>
                <c:pt idx="432">
                  <c:v>0.1109</c:v>
                </c:pt>
                <c:pt idx="433">
                  <c:v>0.1094</c:v>
                </c:pt>
                <c:pt idx="434">
                  <c:v>0.11</c:v>
                </c:pt>
                <c:pt idx="435">
                  <c:v>0.1099</c:v>
                </c:pt>
                <c:pt idx="436">
                  <c:v>0.1109</c:v>
                </c:pt>
                <c:pt idx="437">
                  <c:v>0.11219999999999999</c:v>
                </c:pt>
                <c:pt idx="438">
                  <c:v>0.115</c:v>
                </c:pt>
                <c:pt idx="439">
                  <c:v>0.1197</c:v>
                </c:pt>
                <c:pt idx="440">
                  <c:v>0.1203</c:v>
                </c:pt>
                <c:pt idx="441">
                  <c:v>0.12180000000000001</c:v>
                </c:pt>
                <c:pt idx="442">
                  <c:v>0.125</c:v>
                </c:pt>
                <c:pt idx="443">
                  <c:v>0.1288</c:v>
                </c:pt>
                <c:pt idx="444">
                  <c:v>0.12889999999999999</c:v>
                </c:pt>
                <c:pt idx="445">
                  <c:v>0.12740000000000001</c:v>
                </c:pt>
                <c:pt idx="446">
                  <c:v>0.12759999999999999</c:v>
                </c:pt>
                <c:pt idx="447">
                  <c:v>0.12520000000000001</c:v>
                </c:pt>
                <c:pt idx="448">
                  <c:v>0.1246</c:v>
                </c:pt>
                <c:pt idx="449">
                  <c:v>0.1241</c:v>
                </c:pt>
                <c:pt idx="450">
                  <c:v>0.1241</c:v>
                </c:pt>
                <c:pt idx="451">
                  <c:v>0.1241</c:v>
                </c:pt>
                <c:pt idx="452">
                  <c:v>0.12520000000000001</c:v>
                </c:pt>
                <c:pt idx="453">
                  <c:v>0.12590000000000001</c:v>
                </c:pt>
                <c:pt idx="454">
                  <c:v>0.1235</c:v>
                </c:pt>
                <c:pt idx="455">
                  <c:v>0.12239999999999999</c:v>
                </c:pt>
                <c:pt idx="456">
                  <c:v>0.1232</c:v>
                </c:pt>
                <c:pt idx="457">
                  <c:v>0.1227</c:v>
                </c:pt>
                <c:pt idx="458">
                  <c:v>0.12180000000000001</c:v>
                </c:pt>
                <c:pt idx="459">
                  <c:v>0.1215</c:v>
                </c:pt>
                <c:pt idx="460">
                  <c:v>0.123</c:v>
                </c:pt>
                <c:pt idx="461">
                  <c:v>0.1235</c:v>
                </c:pt>
                <c:pt idx="462">
                  <c:v>0.12540000000000001</c:v>
                </c:pt>
                <c:pt idx="463">
                  <c:v>0.1234</c:v>
                </c:pt>
                <c:pt idx="464">
                  <c:v>0.1241</c:v>
                </c:pt>
                <c:pt idx="465">
                  <c:v>0.12479999999999999</c:v>
                </c:pt>
                <c:pt idx="466">
                  <c:v>0.12479999999999999</c:v>
                </c:pt>
                <c:pt idx="467">
                  <c:v>0.12509999999999999</c:v>
                </c:pt>
                <c:pt idx="468">
                  <c:v>0.12709999999999999</c:v>
                </c:pt>
                <c:pt idx="469">
                  <c:v>0.12559999999999999</c:v>
                </c:pt>
                <c:pt idx="470">
                  <c:v>0.1239</c:v>
                </c:pt>
                <c:pt idx="471">
                  <c:v>0.12570000000000001</c:v>
                </c:pt>
                <c:pt idx="472">
                  <c:v>0.12570000000000001</c:v>
                </c:pt>
                <c:pt idx="473">
                  <c:v>0.12590000000000001</c:v>
                </c:pt>
                <c:pt idx="474">
                  <c:v>0.1285</c:v>
                </c:pt>
                <c:pt idx="475">
                  <c:v>0.12809999999999999</c:v>
                </c:pt>
                <c:pt idx="476">
                  <c:v>0.1273</c:v>
                </c:pt>
                <c:pt idx="477">
                  <c:v>0.12759999999999999</c:v>
                </c:pt>
                <c:pt idx="478">
                  <c:v>0.12690000000000001</c:v>
                </c:pt>
                <c:pt idx="479">
                  <c:v>0.1275</c:v>
                </c:pt>
                <c:pt idx="480">
                  <c:v>0.12609999999999999</c:v>
                </c:pt>
                <c:pt idx="481">
                  <c:v>0.1283</c:v>
                </c:pt>
                <c:pt idx="482">
                  <c:v>0.12820000000000001</c:v>
                </c:pt>
                <c:pt idx="483">
                  <c:v>0.1278</c:v>
                </c:pt>
                <c:pt idx="484">
                  <c:v>0.12790000000000001</c:v>
                </c:pt>
                <c:pt idx="485">
                  <c:v>0.12790000000000001</c:v>
                </c:pt>
                <c:pt idx="486">
                  <c:v>0.12939999999999999</c:v>
                </c:pt>
                <c:pt idx="487">
                  <c:v>0.1275</c:v>
                </c:pt>
                <c:pt idx="488">
                  <c:v>0.12859999999999999</c:v>
                </c:pt>
                <c:pt idx="489">
                  <c:v>0.13059999999999999</c:v>
                </c:pt>
                <c:pt idx="490">
                  <c:v>0.1308</c:v>
                </c:pt>
                <c:pt idx="491">
                  <c:v>0.1318</c:v>
                </c:pt>
                <c:pt idx="492">
                  <c:v>0.1338</c:v>
                </c:pt>
                <c:pt idx="493">
                  <c:v>0.1346</c:v>
                </c:pt>
                <c:pt idx="494">
                  <c:v>0.13420000000000001</c:v>
                </c:pt>
                <c:pt idx="495">
                  <c:v>0.13519999999999999</c:v>
                </c:pt>
                <c:pt idx="496">
                  <c:v>0.13500000000000001</c:v>
                </c:pt>
                <c:pt idx="497">
                  <c:v>0.13289999999999999</c:v>
                </c:pt>
                <c:pt idx="498">
                  <c:v>0.13270000000000001</c:v>
                </c:pt>
                <c:pt idx="499">
                  <c:v>0.1343</c:v>
                </c:pt>
                <c:pt idx="500">
                  <c:v>0.13550000000000001</c:v>
                </c:pt>
                <c:pt idx="501">
                  <c:v>0.13539999999999999</c:v>
                </c:pt>
                <c:pt idx="502">
                  <c:v>0.13450000000000001</c:v>
                </c:pt>
                <c:pt idx="503">
                  <c:v>0.13370000000000001</c:v>
                </c:pt>
                <c:pt idx="504">
                  <c:v>0.13439999999999999</c:v>
                </c:pt>
                <c:pt idx="505">
                  <c:v>0.13539999999999999</c:v>
                </c:pt>
                <c:pt idx="506">
                  <c:v>0.1353</c:v>
                </c:pt>
                <c:pt idx="507">
                  <c:v>0.13420000000000001</c:v>
                </c:pt>
                <c:pt idx="508">
                  <c:v>0.1313</c:v>
                </c:pt>
                <c:pt idx="509">
                  <c:v>0.1331</c:v>
                </c:pt>
                <c:pt idx="510">
                  <c:v>0.13730000000000001</c:v>
                </c:pt>
                <c:pt idx="511">
                  <c:v>0.13589999999999999</c:v>
                </c:pt>
                <c:pt idx="512">
                  <c:v>0.13469999999999999</c:v>
                </c:pt>
                <c:pt idx="513">
                  <c:v>0.1371</c:v>
                </c:pt>
                <c:pt idx="514">
                  <c:v>0.14069999999999999</c:v>
                </c:pt>
                <c:pt idx="515">
                  <c:v>0.1416</c:v>
                </c:pt>
                <c:pt idx="516">
                  <c:v>0.14319999999999999</c:v>
                </c:pt>
                <c:pt idx="517">
                  <c:v>0.1452</c:v>
                </c:pt>
                <c:pt idx="518">
                  <c:v>0.14430000000000001</c:v>
                </c:pt>
                <c:pt idx="519">
                  <c:v>0.14449999999999999</c:v>
                </c:pt>
                <c:pt idx="520">
                  <c:v>0.14449999999999999</c:v>
                </c:pt>
                <c:pt idx="521">
                  <c:v>0.14549999999999999</c:v>
                </c:pt>
                <c:pt idx="522">
                  <c:v>0.14660000000000001</c:v>
                </c:pt>
                <c:pt idx="523">
                  <c:v>0.1457</c:v>
                </c:pt>
                <c:pt idx="524">
                  <c:v>0.1439</c:v>
                </c:pt>
                <c:pt idx="525">
                  <c:v>0.1421</c:v>
                </c:pt>
                <c:pt idx="526">
                  <c:v>0.1454</c:v>
                </c:pt>
                <c:pt idx="527">
                  <c:v>0.1449</c:v>
                </c:pt>
                <c:pt idx="528">
                  <c:v>0.1459</c:v>
                </c:pt>
                <c:pt idx="529">
                  <c:v>0.14610000000000001</c:v>
                </c:pt>
                <c:pt idx="530">
                  <c:v>0.1489</c:v>
                </c:pt>
                <c:pt idx="531">
                  <c:v>0.14710000000000001</c:v>
                </c:pt>
                <c:pt idx="532">
                  <c:v>0.14729999999999999</c:v>
                </c:pt>
                <c:pt idx="533">
                  <c:v>0.1474</c:v>
                </c:pt>
                <c:pt idx="534">
                  <c:v>0.1492</c:v>
                </c:pt>
                <c:pt idx="535">
                  <c:v>0.15040000000000001</c:v>
                </c:pt>
                <c:pt idx="536">
                  <c:v>0.15409999999999999</c:v>
                </c:pt>
                <c:pt idx="537">
                  <c:v>0.1578</c:v>
                </c:pt>
                <c:pt idx="538">
                  <c:v>0.15160000000000001</c:v>
                </c:pt>
                <c:pt idx="539">
                  <c:v>0.15060000000000001</c:v>
                </c:pt>
                <c:pt idx="540">
                  <c:v>0.15060000000000001</c:v>
                </c:pt>
                <c:pt idx="541">
                  <c:v>0.15279999999999999</c:v>
                </c:pt>
                <c:pt idx="542">
                  <c:v>0.15579999999999999</c:v>
                </c:pt>
                <c:pt idx="543">
                  <c:v>0.154</c:v>
                </c:pt>
                <c:pt idx="544">
                  <c:v>0.15590000000000001</c:v>
                </c:pt>
                <c:pt idx="545">
                  <c:v>0.1527</c:v>
                </c:pt>
                <c:pt idx="546">
                  <c:v>0.1507</c:v>
                </c:pt>
                <c:pt idx="547">
                  <c:v>0.1469</c:v>
                </c:pt>
                <c:pt idx="548">
                  <c:v>0.14280000000000001</c:v>
                </c:pt>
                <c:pt idx="549">
                  <c:v>0.14199999999999999</c:v>
                </c:pt>
                <c:pt idx="550">
                  <c:v>0.1381</c:v>
                </c:pt>
                <c:pt idx="551">
                  <c:v>0.1376</c:v>
                </c:pt>
                <c:pt idx="552">
                  <c:v>0.13469999999999999</c:v>
                </c:pt>
                <c:pt idx="553">
                  <c:v>0.13420000000000001</c:v>
                </c:pt>
                <c:pt idx="554">
                  <c:v>0.13020000000000001</c:v>
                </c:pt>
                <c:pt idx="555">
                  <c:v>0.12609999999999999</c:v>
                </c:pt>
                <c:pt idx="556">
                  <c:v>0.12590000000000001</c:v>
                </c:pt>
                <c:pt idx="557">
                  <c:v>0.1226</c:v>
                </c:pt>
                <c:pt idx="558">
                  <c:v>0.1162</c:v>
                </c:pt>
                <c:pt idx="559">
                  <c:v>0.11700000000000001</c:v>
                </c:pt>
                <c:pt idx="560">
                  <c:v>0.1109</c:v>
                </c:pt>
                <c:pt idx="561">
                  <c:v>0.1089</c:v>
                </c:pt>
                <c:pt idx="562">
                  <c:v>0.1067</c:v>
                </c:pt>
                <c:pt idx="563">
                  <c:v>0.10589999999999999</c:v>
                </c:pt>
                <c:pt idx="564">
                  <c:v>0.1091</c:v>
                </c:pt>
                <c:pt idx="565">
                  <c:v>0.1104</c:v>
                </c:pt>
                <c:pt idx="566">
                  <c:v>0.11269999999999999</c:v>
                </c:pt>
                <c:pt idx="567">
                  <c:v>0.11409999999999999</c:v>
                </c:pt>
                <c:pt idx="568">
                  <c:v>0.1133</c:v>
                </c:pt>
                <c:pt idx="569">
                  <c:v>0.111</c:v>
                </c:pt>
                <c:pt idx="570">
                  <c:v>0.10730000000000001</c:v>
                </c:pt>
                <c:pt idx="571">
                  <c:v>0.1042</c:v>
                </c:pt>
                <c:pt idx="572">
                  <c:v>0.1004</c:v>
                </c:pt>
                <c:pt idx="573">
                  <c:v>0.10290000000000001</c:v>
                </c:pt>
                <c:pt idx="574">
                  <c:v>0.1031</c:v>
                </c:pt>
                <c:pt idx="575">
                  <c:v>0.1045</c:v>
                </c:pt>
                <c:pt idx="576">
                  <c:v>0.1038</c:v>
                </c:pt>
                <c:pt idx="577">
                  <c:v>0.1037</c:v>
                </c:pt>
                <c:pt idx="578">
                  <c:v>0.1043</c:v>
                </c:pt>
                <c:pt idx="579">
                  <c:v>0.1017</c:v>
                </c:pt>
                <c:pt idx="580">
                  <c:v>0.10050000000000001</c:v>
                </c:pt>
                <c:pt idx="581">
                  <c:v>0.1016</c:v>
                </c:pt>
                <c:pt idx="582">
                  <c:v>0.1016</c:v>
                </c:pt>
                <c:pt idx="583">
                  <c:v>0.1037</c:v>
                </c:pt>
                <c:pt idx="584">
                  <c:v>0.10059999999999999</c:v>
                </c:pt>
                <c:pt idx="585">
                  <c:v>9.7500000000000003E-2</c:v>
                </c:pt>
                <c:pt idx="586">
                  <c:v>9.8299999999999998E-2</c:v>
                </c:pt>
                <c:pt idx="587">
                  <c:v>9.8400000000000001E-2</c:v>
                </c:pt>
                <c:pt idx="588">
                  <c:v>9.7299999999999998E-2</c:v>
                </c:pt>
                <c:pt idx="589">
                  <c:v>9.2399999999999996E-2</c:v>
                </c:pt>
                <c:pt idx="590">
                  <c:v>9.4100000000000003E-2</c:v>
                </c:pt>
                <c:pt idx="591">
                  <c:v>9.8599999999999993E-2</c:v>
                </c:pt>
                <c:pt idx="592">
                  <c:v>0.1037</c:v>
                </c:pt>
                <c:pt idx="593">
                  <c:v>0.10970000000000001</c:v>
                </c:pt>
                <c:pt idx="594">
                  <c:v>0.104</c:v>
                </c:pt>
                <c:pt idx="595">
                  <c:v>0.10780000000000001</c:v>
                </c:pt>
                <c:pt idx="596">
                  <c:v>0.1027</c:v>
                </c:pt>
                <c:pt idx="597">
                  <c:v>0.1033</c:v>
                </c:pt>
                <c:pt idx="598">
                  <c:v>0.10290000000000001</c:v>
                </c:pt>
                <c:pt idx="599">
                  <c:v>0.1012</c:v>
                </c:pt>
                <c:pt idx="600">
                  <c:v>0.10249999999999999</c:v>
                </c:pt>
                <c:pt idx="601">
                  <c:v>0.1026</c:v>
                </c:pt>
                <c:pt idx="602">
                  <c:v>0.1046</c:v>
                </c:pt>
                <c:pt idx="603">
                  <c:v>0.1038</c:v>
                </c:pt>
                <c:pt idx="604">
                  <c:v>0.108</c:v>
                </c:pt>
                <c:pt idx="605">
                  <c:v>0.1085</c:v>
                </c:pt>
                <c:pt idx="606">
                  <c:v>0.1119</c:v>
                </c:pt>
                <c:pt idx="607">
                  <c:v>0.10979999999999999</c:v>
                </c:pt>
                <c:pt idx="608">
                  <c:v>0.10929999999999999</c:v>
                </c:pt>
                <c:pt idx="609">
                  <c:v>0.10929999999999999</c:v>
                </c:pt>
                <c:pt idx="610">
                  <c:v>0.1105</c:v>
                </c:pt>
                <c:pt idx="611">
                  <c:v>0.108</c:v>
                </c:pt>
                <c:pt idx="612">
                  <c:v>0.108</c:v>
                </c:pt>
                <c:pt idx="613">
                  <c:v>0.1091</c:v>
                </c:pt>
                <c:pt idx="614">
                  <c:v>0.11</c:v>
                </c:pt>
                <c:pt idx="615">
                  <c:v>0.11219999999999999</c:v>
                </c:pt>
                <c:pt idx="616">
                  <c:v>0.1162</c:v>
                </c:pt>
                <c:pt idx="617">
                  <c:v>0.1173</c:v>
                </c:pt>
                <c:pt idx="618">
                  <c:v>0.1202</c:v>
                </c:pt>
                <c:pt idx="619">
                  <c:v>0.11940000000000001</c:v>
                </c:pt>
                <c:pt idx="620">
                  <c:v>0.12</c:v>
                </c:pt>
                <c:pt idx="621">
                  <c:v>0.12230000000000001</c:v>
                </c:pt>
                <c:pt idx="622">
                  <c:v>0.11940000000000001</c:v>
                </c:pt>
                <c:pt idx="623">
                  <c:v>0.1187</c:v>
                </c:pt>
                <c:pt idx="624">
                  <c:v>0.12039999999999999</c:v>
                </c:pt>
                <c:pt idx="625">
                  <c:v>0.12189999999999999</c:v>
                </c:pt>
                <c:pt idx="626">
                  <c:v>0.1211</c:v>
                </c:pt>
                <c:pt idx="627">
                  <c:v>0.11890000000000001</c:v>
                </c:pt>
                <c:pt idx="628">
                  <c:v>0.1205</c:v>
                </c:pt>
                <c:pt idx="629">
                  <c:v>0.1192</c:v>
                </c:pt>
                <c:pt idx="630">
                  <c:v>0.1179</c:v>
                </c:pt>
                <c:pt idx="631">
                  <c:v>0.11749999999999999</c:v>
                </c:pt>
                <c:pt idx="632">
                  <c:v>0.1183</c:v>
                </c:pt>
                <c:pt idx="633">
                  <c:v>0.1158</c:v>
                </c:pt>
                <c:pt idx="634">
                  <c:v>0.11749999999999999</c:v>
                </c:pt>
                <c:pt idx="635">
                  <c:v>0.11940000000000001</c:v>
                </c:pt>
                <c:pt idx="636">
                  <c:v>0.1217</c:v>
                </c:pt>
                <c:pt idx="637">
                  <c:v>0.12239999999999999</c:v>
                </c:pt>
                <c:pt idx="638">
                  <c:v>0.1193</c:v>
                </c:pt>
                <c:pt idx="639">
                  <c:v>0.12180000000000001</c:v>
                </c:pt>
                <c:pt idx="640">
                  <c:v>0.1208</c:v>
                </c:pt>
                <c:pt idx="641">
                  <c:v>0.11840000000000001</c:v>
                </c:pt>
                <c:pt idx="642">
                  <c:v>0.1176</c:v>
                </c:pt>
                <c:pt idx="643">
                  <c:v>0.1158</c:v>
                </c:pt>
                <c:pt idx="644">
                  <c:v>0.1132</c:v>
                </c:pt>
                <c:pt idx="645">
                  <c:v>0.1182</c:v>
                </c:pt>
                <c:pt idx="646">
                  <c:v>0.1179</c:v>
                </c:pt>
                <c:pt idx="647">
                  <c:v>0.1173</c:v>
                </c:pt>
                <c:pt idx="648">
                  <c:v>0.1172</c:v>
                </c:pt>
                <c:pt idx="649">
                  <c:v>0.1167</c:v>
                </c:pt>
                <c:pt idx="650">
                  <c:v>0.1186</c:v>
                </c:pt>
                <c:pt idx="651">
                  <c:v>0.1177</c:v>
                </c:pt>
                <c:pt idx="652">
                  <c:v>0.1149</c:v>
                </c:pt>
                <c:pt idx="653">
                  <c:v>0.1212</c:v>
                </c:pt>
                <c:pt idx="654">
                  <c:v>0.1201</c:v>
                </c:pt>
                <c:pt idx="655">
                  <c:v>0.1201</c:v>
                </c:pt>
                <c:pt idx="656">
                  <c:v>0.1211</c:v>
                </c:pt>
                <c:pt idx="657">
                  <c:v>0.12640000000000001</c:v>
                </c:pt>
                <c:pt idx="658">
                  <c:v>0.12720000000000001</c:v>
                </c:pt>
                <c:pt idx="659">
                  <c:v>0.1278</c:v>
                </c:pt>
                <c:pt idx="660">
                  <c:v>0.12540000000000001</c:v>
                </c:pt>
                <c:pt idx="661">
                  <c:v>0.12939999999999999</c:v>
                </c:pt>
                <c:pt idx="662">
                  <c:v>0.12670000000000001</c:v>
                </c:pt>
                <c:pt idx="663">
                  <c:v>0.1255</c:v>
                </c:pt>
                <c:pt idx="664">
                  <c:v>0.12740000000000001</c:v>
                </c:pt>
                <c:pt idx="665">
                  <c:v>0.12839999999999999</c:v>
                </c:pt>
                <c:pt idx="666">
                  <c:v>0.13109999999999999</c:v>
                </c:pt>
                <c:pt idx="667">
                  <c:v>0.13100000000000001</c:v>
                </c:pt>
                <c:pt idx="668">
                  <c:v>0.13059999999999999</c:v>
                </c:pt>
                <c:pt idx="669">
                  <c:v>0.12889999999999999</c:v>
                </c:pt>
                <c:pt idx="670">
                  <c:v>0.13239999999999999</c:v>
                </c:pt>
                <c:pt idx="671">
                  <c:v>0.13009999999999999</c:v>
                </c:pt>
                <c:pt idx="672">
                  <c:v>0.1283</c:v>
                </c:pt>
                <c:pt idx="673">
                  <c:v>0.12709999999999999</c:v>
                </c:pt>
                <c:pt idx="674">
                  <c:v>0.12759999999999999</c:v>
                </c:pt>
                <c:pt idx="675">
                  <c:v>0.1258</c:v>
                </c:pt>
                <c:pt idx="676">
                  <c:v>0.12770000000000001</c:v>
                </c:pt>
                <c:pt idx="677">
                  <c:v>0.126</c:v>
                </c:pt>
                <c:pt idx="678">
                  <c:v>0.12659999999999999</c:v>
                </c:pt>
                <c:pt idx="679">
                  <c:v>0.126</c:v>
                </c:pt>
                <c:pt idx="680">
                  <c:v>0.1244</c:v>
                </c:pt>
                <c:pt idx="681">
                  <c:v>0.1207</c:v>
                </c:pt>
                <c:pt idx="682">
                  <c:v>0.1193</c:v>
                </c:pt>
                <c:pt idx="683">
                  <c:v>0.1193</c:v>
                </c:pt>
                <c:pt idx="684">
                  <c:v>0.12039999999999999</c:v>
                </c:pt>
                <c:pt idx="685">
                  <c:v>0.1203</c:v>
                </c:pt>
                <c:pt idx="686">
                  <c:v>0.1191</c:v>
                </c:pt>
                <c:pt idx="687">
                  <c:v>0.1192</c:v>
                </c:pt>
                <c:pt idx="688">
                  <c:v>0.1176</c:v>
                </c:pt>
                <c:pt idx="689">
                  <c:v>0.1208</c:v>
                </c:pt>
                <c:pt idx="690">
                  <c:v>0.1235</c:v>
                </c:pt>
                <c:pt idx="691">
                  <c:v>0.12620000000000001</c:v>
                </c:pt>
                <c:pt idx="692">
                  <c:v>0.12770000000000001</c:v>
                </c:pt>
                <c:pt idx="693">
                  <c:v>0.1255</c:v>
                </c:pt>
                <c:pt idx="694">
                  <c:v>0.12889999999999999</c:v>
                </c:pt>
                <c:pt idx="695">
                  <c:v>0.12820000000000001</c:v>
                </c:pt>
                <c:pt idx="696">
                  <c:v>0.12839999999999999</c:v>
                </c:pt>
                <c:pt idx="697">
                  <c:v>0.13100000000000001</c:v>
                </c:pt>
                <c:pt idx="698">
                  <c:v>0.12770000000000001</c:v>
                </c:pt>
                <c:pt idx="699">
                  <c:v>0.13250000000000001</c:v>
                </c:pt>
                <c:pt idx="700">
                  <c:v>0.13420000000000001</c:v>
                </c:pt>
                <c:pt idx="701">
                  <c:v>0.1358</c:v>
                </c:pt>
                <c:pt idx="702">
                  <c:v>0.13550000000000001</c:v>
                </c:pt>
                <c:pt idx="703">
                  <c:v>0.1361</c:v>
                </c:pt>
                <c:pt idx="704">
                  <c:v>0.13880000000000001</c:v>
                </c:pt>
                <c:pt idx="705">
                  <c:v>0.1414</c:v>
                </c:pt>
                <c:pt idx="706">
                  <c:v>0.14169999999999999</c:v>
                </c:pt>
                <c:pt idx="707">
                  <c:v>0.14230000000000001</c:v>
                </c:pt>
                <c:pt idx="708">
                  <c:v>0.1384</c:v>
                </c:pt>
                <c:pt idx="709">
                  <c:v>0.1401</c:v>
                </c:pt>
                <c:pt idx="710">
                  <c:v>0.14199999999999999</c:v>
                </c:pt>
                <c:pt idx="711">
                  <c:v>0.14180000000000001</c:v>
                </c:pt>
                <c:pt idx="712">
                  <c:v>0.14430000000000001</c:v>
                </c:pt>
                <c:pt idx="713">
                  <c:v>0.1472</c:v>
                </c:pt>
                <c:pt idx="714">
                  <c:v>0.1454</c:v>
                </c:pt>
                <c:pt idx="715">
                  <c:v>0.14499999999999999</c:v>
                </c:pt>
                <c:pt idx="716">
                  <c:v>0.14779999999999999</c:v>
                </c:pt>
                <c:pt idx="717">
                  <c:v>0.1472</c:v>
                </c:pt>
                <c:pt idx="718">
                  <c:v>0.1477</c:v>
                </c:pt>
                <c:pt idx="719">
                  <c:v>0.14829999999999999</c:v>
                </c:pt>
                <c:pt idx="720">
                  <c:v>0.1489</c:v>
                </c:pt>
                <c:pt idx="721">
                  <c:v>0.14399999999999999</c:v>
                </c:pt>
                <c:pt idx="722">
                  <c:v>0.14360000000000001</c:v>
                </c:pt>
                <c:pt idx="723">
                  <c:v>0.1497</c:v>
                </c:pt>
                <c:pt idx="724">
                  <c:v>0.1472</c:v>
                </c:pt>
                <c:pt idx="725">
                  <c:v>0.14649999999999999</c:v>
                </c:pt>
                <c:pt idx="726">
                  <c:v>0.14480000000000001</c:v>
                </c:pt>
                <c:pt idx="727">
                  <c:v>0.14910000000000001</c:v>
                </c:pt>
                <c:pt idx="728">
                  <c:v>0.14879999999999999</c:v>
                </c:pt>
                <c:pt idx="729">
                  <c:v>0.14680000000000001</c:v>
                </c:pt>
                <c:pt idx="730">
                  <c:v>0.1449</c:v>
                </c:pt>
                <c:pt idx="731">
                  <c:v>0.1492</c:v>
                </c:pt>
                <c:pt idx="732">
                  <c:v>0.14960000000000001</c:v>
                </c:pt>
                <c:pt idx="733">
                  <c:v>0.1547</c:v>
                </c:pt>
                <c:pt idx="734">
                  <c:v>0.15310000000000001</c:v>
                </c:pt>
                <c:pt idx="735">
                  <c:v>0.1545</c:v>
                </c:pt>
                <c:pt idx="736">
                  <c:v>0.15279999999999999</c:v>
                </c:pt>
                <c:pt idx="737">
                  <c:v>0.15210000000000001</c:v>
                </c:pt>
                <c:pt idx="738">
                  <c:v>0.1515</c:v>
                </c:pt>
                <c:pt idx="739">
                  <c:v>0.15040000000000001</c:v>
                </c:pt>
                <c:pt idx="740">
                  <c:v>0.1477</c:v>
                </c:pt>
                <c:pt idx="741">
                  <c:v>0.1477</c:v>
                </c:pt>
                <c:pt idx="742">
                  <c:v>0.1482</c:v>
                </c:pt>
                <c:pt idx="743">
                  <c:v>0.14510000000000001</c:v>
                </c:pt>
                <c:pt idx="744">
                  <c:v>0.14510000000000001</c:v>
                </c:pt>
                <c:pt idx="745">
                  <c:v>0.14599999999999999</c:v>
                </c:pt>
                <c:pt idx="746">
                  <c:v>0.14710000000000001</c:v>
                </c:pt>
                <c:pt idx="747">
                  <c:v>0.1444</c:v>
                </c:pt>
                <c:pt idx="748">
                  <c:v>0.14449999999999999</c:v>
                </c:pt>
                <c:pt idx="749">
                  <c:v>0.1439</c:v>
                </c:pt>
                <c:pt idx="750">
                  <c:v>0.1497</c:v>
                </c:pt>
                <c:pt idx="751">
                  <c:v>0.14660000000000001</c:v>
                </c:pt>
                <c:pt idx="752">
                  <c:v>0.14430000000000001</c:v>
                </c:pt>
                <c:pt idx="753">
                  <c:v>0.14119999999999999</c:v>
                </c:pt>
                <c:pt idx="754">
                  <c:v>0.1421</c:v>
                </c:pt>
                <c:pt idx="755">
                  <c:v>0.1449</c:v>
                </c:pt>
                <c:pt idx="756">
                  <c:v>0.14680000000000001</c:v>
                </c:pt>
                <c:pt idx="757">
                  <c:v>0.1444</c:v>
                </c:pt>
                <c:pt idx="758">
                  <c:v>0.14530000000000001</c:v>
                </c:pt>
                <c:pt idx="759">
                  <c:v>0.1454</c:v>
                </c:pt>
                <c:pt idx="760">
                  <c:v>0.14829999999999999</c:v>
                </c:pt>
                <c:pt idx="761">
                  <c:v>0.14899999999999999</c:v>
                </c:pt>
                <c:pt idx="762">
                  <c:v>0.14979999999999999</c:v>
                </c:pt>
                <c:pt idx="763">
                  <c:v>0.15040000000000001</c:v>
                </c:pt>
                <c:pt idx="764">
                  <c:v>0.15279999999999999</c:v>
                </c:pt>
                <c:pt idx="765">
                  <c:v>0.15490000000000001</c:v>
                </c:pt>
                <c:pt idx="766">
                  <c:v>0.15759999999999999</c:v>
                </c:pt>
                <c:pt idx="767">
                  <c:v>0.16120000000000001</c:v>
                </c:pt>
                <c:pt idx="768">
                  <c:v>0.16250000000000001</c:v>
                </c:pt>
                <c:pt idx="769">
                  <c:v>0.156</c:v>
                </c:pt>
                <c:pt idx="770">
                  <c:v>0.156</c:v>
                </c:pt>
                <c:pt idx="771">
                  <c:v>0.15670000000000001</c:v>
                </c:pt>
                <c:pt idx="772">
                  <c:v>0.15459999999999999</c:v>
                </c:pt>
                <c:pt idx="773">
                  <c:v>0.15840000000000001</c:v>
                </c:pt>
                <c:pt idx="774">
                  <c:v>0.16669999999999999</c:v>
                </c:pt>
                <c:pt idx="775">
                  <c:v>0.16450000000000001</c:v>
                </c:pt>
                <c:pt idx="776">
                  <c:v>0.16450000000000001</c:v>
                </c:pt>
                <c:pt idx="777">
                  <c:v>0.161</c:v>
                </c:pt>
                <c:pt idx="778">
                  <c:v>0.16270000000000001</c:v>
                </c:pt>
                <c:pt idx="779">
                  <c:v>0.1605</c:v>
                </c:pt>
                <c:pt idx="780">
                  <c:v>0.15870000000000001</c:v>
                </c:pt>
                <c:pt idx="781">
                  <c:v>0.15740000000000001</c:v>
                </c:pt>
                <c:pt idx="782">
                  <c:v>0.15740000000000001</c:v>
                </c:pt>
                <c:pt idx="783">
                  <c:v>0.158</c:v>
                </c:pt>
                <c:pt idx="784">
                  <c:v>0.15590000000000001</c:v>
                </c:pt>
                <c:pt idx="785">
                  <c:v>0.1583</c:v>
                </c:pt>
                <c:pt idx="786">
                  <c:v>0.1615</c:v>
                </c:pt>
                <c:pt idx="787">
                  <c:v>0.16289999999999999</c:v>
                </c:pt>
                <c:pt idx="788">
                  <c:v>0.16039999999999999</c:v>
                </c:pt>
                <c:pt idx="789">
                  <c:v>0.1605</c:v>
                </c:pt>
                <c:pt idx="790">
                  <c:v>0.16420000000000001</c:v>
                </c:pt>
                <c:pt idx="791">
                  <c:v>0.16270000000000001</c:v>
                </c:pt>
                <c:pt idx="792">
                  <c:v>0.16439999999999999</c:v>
                </c:pt>
                <c:pt idx="793">
                  <c:v>0.1671</c:v>
                </c:pt>
                <c:pt idx="794">
                  <c:v>0.16550000000000001</c:v>
                </c:pt>
                <c:pt idx="795">
                  <c:v>0.1638</c:v>
                </c:pt>
                <c:pt idx="796">
                  <c:v>0.1638</c:v>
                </c:pt>
                <c:pt idx="797">
                  <c:v>0.1673</c:v>
                </c:pt>
                <c:pt idx="798">
                  <c:v>0.1696</c:v>
                </c:pt>
                <c:pt idx="799">
                  <c:v>0.17510000000000001</c:v>
                </c:pt>
                <c:pt idx="800">
                  <c:v>0.1779</c:v>
                </c:pt>
                <c:pt idx="801">
                  <c:v>0.18779999999999999</c:v>
                </c:pt>
                <c:pt idx="802">
                  <c:v>0.18129999999999999</c:v>
                </c:pt>
                <c:pt idx="803">
                  <c:v>0.17760000000000001</c:v>
                </c:pt>
                <c:pt idx="804">
                  <c:v>0.1724</c:v>
                </c:pt>
                <c:pt idx="805">
                  <c:v>0.16669999999999999</c:v>
                </c:pt>
                <c:pt idx="806">
                  <c:v>0.16209999999999999</c:v>
                </c:pt>
                <c:pt idx="807">
                  <c:v>0.1643</c:v>
                </c:pt>
                <c:pt idx="808">
                  <c:v>0.16139999999999999</c:v>
                </c:pt>
                <c:pt idx="809">
                  <c:v>0.16259999999999999</c:v>
                </c:pt>
                <c:pt idx="810">
                  <c:v>0.16400000000000001</c:v>
                </c:pt>
                <c:pt idx="811">
                  <c:v>0.16200000000000001</c:v>
                </c:pt>
                <c:pt idx="812">
                  <c:v>0.159</c:v>
                </c:pt>
                <c:pt idx="813">
                  <c:v>0.15959999999999999</c:v>
                </c:pt>
                <c:pt idx="814">
                  <c:v>0.1636</c:v>
                </c:pt>
                <c:pt idx="815">
                  <c:v>0.1613</c:v>
                </c:pt>
                <c:pt idx="816">
                  <c:v>0.16120000000000001</c:v>
                </c:pt>
                <c:pt idx="817">
                  <c:v>0.16300000000000001</c:v>
                </c:pt>
                <c:pt idx="818">
                  <c:v>0.15989999999999999</c:v>
                </c:pt>
                <c:pt idx="819">
                  <c:v>0.15890000000000001</c:v>
                </c:pt>
                <c:pt idx="820">
                  <c:v>0.15759999999999999</c:v>
                </c:pt>
                <c:pt idx="821">
                  <c:v>0.15529999999999999</c:v>
                </c:pt>
                <c:pt idx="822">
                  <c:v>0.15429999999999999</c:v>
                </c:pt>
                <c:pt idx="823">
                  <c:v>0.15629999999999999</c:v>
                </c:pt>
                <c:pt idx="824">
                  <c:v>0.15090000000000001</c:v>
                </c:pt>
                <c:pt idx="825">
                  <c:v>0.15190000000000001</c:v>
                </c:pt>
                <c:pt idx="826">
                  <c:v>0.1492</c:v>
                </c:pt>
                <c:pt idx="827">
                  <c:v>0.1492</c:v>
                </c:pt>
                <c:pt idx="828">
                  <c:v>0.1477</c:v>
                </c:pt>
                <c:pt idx="829">
                  <c:v>0.14710000000000001</c:v>
                </c:pt>
                <c:pt idx="830">
                  <c:v>0.1484</c:v>
                </c:pt>
                <c:pt idx="831">
                  <c:v>0.15160000000000001</c:v>
                </c:pt>
                <c:pt idx="832">
                  <c:v>0.15140000000000001</c:v>
                </c:pt>
                <c:pt idx="833">
                  <c:v>0.15179999999999999</c:v>
                </c:pt>
                <c:pt idx="834">
                  <c:v>0.15459999999999999</c:v>
                </c:pt>
                <c:pt idx="835">
                  <c:v>0.1535</c:v>
                </c:pt>
                <c:pt idx="836">
                  <c:v>0.15429999999999999</c:v>
                </c:pt>
                <c:pt idx="837">
                  <c:v>0.15859999999999999</c:v>
                </c:pt>
                <c:pt idx="838">
                  <c:v>0.1638</c:v>
                </c:pt>
                <c:pt idx="839">
                  <c:v>0.16719999999999999</c:v>
                </c:pt>
                <c:pt idx="840">
                  <c:v>0.16289999999999999</c:v>
                </c:pt>
                <c:pt idx="841">
                  <c:v>0.16769999999999999</c:v>
                </c:pt>
                <c:pt idx="842">
                  <c:v>0.1694</c:v>
                </c:pt>
                <c:pt idx="843">
                  <c:v>0.16919999999999999</c:v>
                </c:pt>
                <c:pt idx="844">
                  <c:v>0.1691</c:v>
                </c:pt>
                <c:pt idx="845">
                  <c:v>0.17169999999999999</c:v>
                </c:pt>
                <c:pt idx="846">
                  <c:v>0.17899999999999999</c:v>
                </c:pt>
                <c:pt idx="847">
                  <c:v>0.1724</c:v>
                </c:pt>
                <c:pt idx="848">
                  <c:v>0.1699</c:v>
                </c:pt>
                <c:pt idx="849">
                  <c:v>0.17069999999999999</c:v>
                </c:pt>
                <c:pt idx="850">
                  <c:v>0.1673</c:v>
                </c:pt>
                <c:pt idx="851">
                  <c:v>0.17119999999999999</c:v>
                </c:pt>
                <c:pt idx="852">
                  <c:v>0.17530000000000001</c:v>
                </c:pt>
                <c:pt idx="853">
                  <c:v>0.17549999999999999</c:v>
                </c:pt>
                <c:pt idx="854">
                  <c:v>0.1749</c:v>
                </c:pt>
                <c:pt idx="855">
                  <c:v>0.1749</c:v>
                </c:pt>
                <c:pt idx="856">
                  <c:v>0.18099999999999999</c:v>
                </c:pt>
                <c:pt idx="857">
                  <c:v>0.1784</c:v>
                </c:pt>
                <c:pt idx="858">
                  <c:v>0.1711</c:v>
                </c:pt>
                <c:pt idx="859">
                  <c:v>0.1696</c:v>
                </c:pt>
                <c:pt idx="860">
                  <c:v>0.1699</c:v>
                </c:pt>
                <c:pt idx="861">
                  <c:v>0.1721</c:v>
                </c:pt>
                <c:pt idx="862">
                  <c:v>0.16950000000000001</c:v>
                </c:pt>
                <c:pt idx="863">
                  <c:v>0.1704</c:v>
                </c:pt>
                <c:pt idx="864">
                  <c:v>0.16669999999999999</c:v>
                </c:pt>
                <c:pt idx="865">
                  <c:v>0.16830000000000001</c:v>
                </c:pt>
                <c:pt idx="866">
                  <c:v>0.1704</c:v>
                </c:pt>
                <c:pt idx="867">
                  <c:v>0.1678</c:v>
                </c:pt>
                <c:pt idx="868">
                  <c:v>0.17119999999999999</c:v>
                </c:pt>
                <c:pt idx="869">
                  <c:v>0.1736</c:v>
                </c:pt>
                <c:pt idx="870">
                  <c:v>0.1736</c:v>
                </c:pt>
                <c:pt idx="871">
                  <c:v>0.1769</c:v>
                </c:pt>
                <c:pt idx="872">
                  <c:v>0.17680000000000001</c:v>
                </c:pt>
                <c:pt idx="873">
                  <c:v>0.17430000000000001</c:v>
                </c:pt>
                <c:pt idx="874">
                  <c:v>0.17710000000000001</c:v>
                </c:pt>
                <c:pt idx="875">
                  <c:v>0.17380000000000001</c:v>
                </c:pt>
                <c:pt idx="876">
                  <c:v>0.17710000000000001</c:v>
                </c:pt>
                <c:pt idx="877">
                  <c:v>0.17730000000000001</c:v>
                </c:pt>
                <c:pt idx="878">
                  <c:v>0.17660000000000001</c:v>
                </c:pt>
                <c:pt idx="879">
                  <c:v>0.1754</c:v>
                </c:pt>
                <c:pt idx="880">
                  <c:v>0.1729</c:v>
                </c:pt>
                <c:pt idx="881">
                  <c:v>0.17050000000000001</c:v>
                </c:pt>
                <c:pt idx="882">
                  <c:v>0.1704</c:v>
                </c:pt>
                <c:pt idx="883">
                  <c:v>0.16550000000000001</c:v>
                </c:pt>
                <c:pt idx="884">
                  <c:v>0.1643</c:v>
                </c:pt>
                <c:pt idx="885">
                  <c:v>0.1678</c:v>
                </c:pt>
                <c:pt idx="886">
                  <c:v>0.1643</c:v>
                </c:pt>
                <c:pt idx="887">
                  <c:v>0.16689999999999999</c:v>
                </c:pt>
                <c:pt idx="888">
                  <c:v>0.16930000000000001</c:v>
                </c:pt>
                <c:pt idx="889">
                  <c:v>0.16980000000000001</c:v>
                </c:pt>
                <c:pt idx="890">
                  <c:v>0.17380000000000001</c:v>
                </c:pt>
                <c:pt idx="891">
                  <c:v>0.17419999999999999</c:v>
                </c:pt>
                <c:pt idx="892">
                  <c:v>0.1784</c:v>
                </c:pt>
                <c:pt idx="893">
                  <c:v>0.1794</c:v>
                </c:pt>
                <c:pt idx="894">
                  <c:v>0.18149999999999999</c:v>
                </c:pt>
                <c:pt idx="895">
                  <c:v>0.18149999999999999</c:v>
                </c:pt>
                <c:pt idx="896">
                  <c:v>0.1787</c:v>
                </c:pt>
                <c:pt idx="897">
                  <c:v>0.17749999999999999</c:v>
                </c:pt>
                <c:pt idx="898">
                  <c:v>0.17449999999999999</c:v>
                </c:pt>
                <c:pt idx="899">
                  <c:v>0.17280000000000001</c:v>
                </c:pt>
                <c:pt idx="900">
                  <c:v>0.1699</c:v>
                </c:pt>
                <c:pt idx="901">
                  <c:v>0.17080000000000001</c:v>
                </c:pt>
                <c:pt idx="902">
                  <c:v>0.16930000000000001</c:v>
                </c:pt>
                <c:pt idx="903">
                  <c:v>0.17330000000000001</c:v>
                </c:pt>
                <c:pt idx="904">
                  <c:v>0.17710000000000001</c:v>
                </c:pt>
                <c:pt idx="905">
                  <c:v>0.17069999999999999</c:v>
                </c:pt>
                <c:pt idx="906">
                  <c:v>0.1741</c:v>
                </c:pt>
                <c:pt idx="907">
                  <c:v>0.1767</c:v>
                </c:pt>
                <c:pt idx="908">
                  <c:v>0.1762</c:v>
                </c:pt>
                <c:pt idx="909">
                  <c:v>0.1817</c:v>
                </c:pt>
                <c:pt idx="910">
                  <c:v>0.1842</c:v>
                </c:pt>
                <c:pt idx="911">
                  <c:v>0.1835</c:v>
                </c:pt>
                <c:pt idx="912">
                  <c:v>0.18609999999999999</c:v>
                </c:pt>
                <c:pt idx="913">
                  <c:v>0.183</c:v>
                </c:pt>
                <c:pt idx="914">
                  <c:v>0.17910000000000001</c:v>
                </c:pt>
                <c:pt idx="915">
                  <c:v>0.17949999999999999</c:v>
                </c:pt>
                <c:pt idx="916">
                  <c:v>0.17979999999999999</c:v>
                </c:pt>
                <c:pt idx="917">
                  <c:v>0.17929999999999999</c:v>
                </c:pt>
                <c:pt idx="918">
                  <c:v>0.1862</c:v>
                </c:pt>
                <c:pt idx="919">
                  <c:v>0.18679999999999999</c:v>
                </c:pt>
                <c:pt idx="920">
                  <c:v>0.1847</c:v>
                </c:pt>
                <c:pt idx="921">
                  <c:v>0.19589999999999999</c:v>
                </c:pt>
                <c:pt idx="922">
                  <c:v>0.19470000000000001</c:v>
                </c:pt>
                <c:pt idx="923">
                  <c:v>0.19539999999999999</c:v>
                </c:pt>
                <c:pt idx="924">
                  <c:v>0.19950000000000001</c:v>
                </c:pt>
                <c:pt idx="925">
                  <c:v>0.20030000000000001</c:v>
                </c:pt>
                <c:pt idx="926">
                  <c:v>0.20019999999999999</c:v>
                </c:pt>
                <c:pt idx="927">
                  <c:v>0.20169999999999999</c:v>
                </c:pt>
                <c:pt idx="928">
                  <c:v>0.19789999999999999</c:v>
                </c:pt>
                <c:pt idx="929">
                  <c:v>0.1958</c:v>
                </c:pt>
                <c:pt idx="930">
                  <c:v>0.1958</c:v>
                </c:pt>
                <c:pt idx="931">
                  <c:v>0.1958</c:v>
                </c:pt>
                <c:pt idx="932">
                  <c:v>0.1973</c:v>
                </c:pt>
                <c:pt idx="933">
                  <c:v>0.1968</c:v>
                </c:pt>
                <c:pt idx="934">
                  <c:v>0.20039999999999999</c:v>
                </c:pt>
                <c:pt idx="935">
                  <c:v>0.20219999999999999</c:v>
                </c:pt>
                <c:pt idx="936">
                  <c:v>0.19839999999999999</c:v>
                </c:pt>
                <c:pt idx="937">
                  <c:v>0.19670000000000001</c:v>
                </c:pt>
                <c:pt idx="938">
                  <c:v>0.19900000000000001</c:v>
                </c:pt>
                <c:pt idx="939">
                  <c:v>0.19620000000000001</c:v>
                </c:pt>
                <c:pt idx="940">
                  <c:v>0.19620000000000001</c:v>
                </c:pt>
                <c:pt idx="941">
                  <c:v>0.1948</c:v>
                </c:pt>
                <c:pt idx="942">
                  <c:v>0.19489999999999999</c:v>
                </c:pt>
                <c:pt idx="943">
                  <c:v>0.19239999999999999</c:v>
                </c:pt>
                <c:pt idx="944">
                  <c:v>0.18790000000000001</c:v>
                </c:pt>
                <c:pt idx="945">
                  <c:v>0.1898</c:v>
                </c:pt>
                <c:pt idx="946">
                  <c:v>0.18959999999999999</c:v>
                </c:pt>
                <c:pt idx="947">
                  <c:v>0.19520000000000001</c:v>
                </c:pt>
                <c:pt idx="948">
                  <c:v>0.19489999999999999</c:v>
                </c:pt>
                <c:pt idx="949">
                  <c:v>0.1918</c:v>
                </c:pt>
                <c:pt idx="950">
                  <c:v>0.18859999999999999</c:v>
                </c:pt>
                <c:pt idx="951">
                  <c:v>0.18970000000000001</c:v>
                </c:pt>
                <c:pt idx="952">
                  <c:v>0.1933</c:v>
                </c:pt>
                <c:pt idx="953">
                  <c:v>0.19489999999999999</c:v>
                </c:pt>
                <c:pt idx="954">
                  <c:v>0.191</c:v>
                </c:pt>
                <c:pt idx="955">
                  <c:v>0.18920000000000001</c:v>
                </c:pt>
                <c:pt idx="956">
                  <c:v>0.19320000000000001</c:v>
                </c:pt>
                <c:pt idx="957">
                  <c:v>0.19409999999999999</c:v>
                </c:pt>
                <c:pt idx="958">
                  <c:v>0.2024</c:v>
                </c:pt>
                <c:pt idx="959">
                  <c:v>0.2006</c:v>
                </c:pt>
                <c:pt idx="960">
                  <c:v>0.19689999999999999</c:v>
                </c:pt>
                <c:pt idx="961">
                  <c:v>0.19850000000000001</c:v>
                </c:pt>
                <c:pt idx="962">
                  <c:v>0.19769999999999999</c:v>
                </c:pt>
                <c:pt idx="963">
                  <c:v>0.19839999999999999</c:v>
                </c:pt>
                <c:pt idx="964">
                  <c:v>0.2029</c:v>
                </c:pt>
                <c:pt idx="965">
                  <c:v>0.20330000000000001</c:v>
                </c:pt>
                <c:pt idx="966">
                  <c:v>0.20069999999999999</c:v>
                </c:pt>
                <c:pt idx="967">
                  <c:v>0.1986</c:v>
                </c:pt>
                <c:pt idx="968">
                  <c:v>0.19589999999999999</c:v>
                </c:pt>
                <c:pt idx="969">
                  <c:v>0.19800000000000001</c:v>
                </c:pt>
                <c:pt idx="970">
                  <c:v>0.19350000000000001</c:v>
                </c:pt>
                <c:pt idx="971">
                  <c:v>0.18870000000000001</c:v>
                </c:pt>
                <c:pt idx="972">
                  <c:v>0.18970000000000001</c:v>
                </c:pt>
                <c:pt idx="973">
                  <c:v>0.18940000000000001</c:v>
                </c:pt>
                <c:pt idx="974">
                  <c:v>0.1908</c:v>
                </c:pt>
                <c:pt idx="975">
                  <c:v>0.19389999999999999</c:v>
                </c:pt>
                <c:pt idx="976">
                  <c:v>0.1966</c:v>
                </c:pt>
                <c:pt idx="977">
                  <c:v>0.19700000000000001</c:v>
                </c:pt>
                <c:pt idx="978">
                  <c:v>0.19620000000000001</c:v>
                </c:pt>
                <c:pt idx="979">
                  <c:v>0.19270000000000001</c:v>
                </c:pt>
                <c:pt idx="980">
                  <c:v>0.19370000000000001</c:v>
                </c:pt>
                <c:pt idx="981">
                  <c:v>0.19539999999999999</c:v>
                </c:pt>
                <c:pt idx="982">
                  <c:v>0.1938</c:v>
                </c:pt>
                <c:pt idx="983">
                  <c:v>0.1963</c:v>
                </c:pt>
                <c:pt idx="984">
                  <c:v>0.19939999999999999</c:v>
                </c:pt>
                <c:pt idx="985">
                  <c:v>0.19919999999999999</c:v>
                </c:pt>
                <c:pt idx="986">
                  <c:v>0.19900000000000001</c:v>
                </c:pt>
                <c:pt idx="987">
                  <c:v>0.19600000000000001</c:v>
                </c:pt>
                <c:pt idx="988">
                  <c:v>0.20119999999999999</c:v>
                </c:pt>
                <c:pt idx="989">
                  <c:v>0.2001</c:v>
                </c:pt>
                <c:pt idx="990">
                  <c:v>0.19739999999999999</c:v>
                </c:pt>
                <c:pt idx="991">
                  <c:v>0.19989999999999999</c:v>
                </c:pt>
                <c:pt idx="992">
                  <c:v>0.20419999999999999</c:v>
                </c:pt>
                <c:pt idx="993">
                  <c:v>0.20180000000000001</c:v>
                </c:pt>
                <c:pt idx="994">
                  <c:v>0.19989999999999999</c:v>
                </c:pt>
                <c:pt idx="995">
                  <c:v>0.1976</c:v>
                </c:pt>
                <c:pt idx="996">
                  <c:v>0.2011</c:v>
                </c:pt>
                <c:pt idx="997">
                  <c:v>0.1993</c:v>
                </c:pt>
                <c:pt idx="998">
                  <c:v>0.1993</c:v>
                </c:pt>
                <c:pt idx="999">
                  <c:v>0.19350000000000001</c:v>
                </c:pt>
                <c:pt idx="1000">
                  <c:v>0.19189999999999999</c:v>
                </c:pt>
                <c:pt idx="1001">
                  <c:v>0.186</c:v>
                </c:pt>
                <c:pt idx="1002">
                  <c:v>0.186</c:v>
                </c:pt>
                <c:pt idx="1003">
                  <c:v>0.1862</c:v>
                </c:pt>
                <c:pt idx="1004">
                  <c:v>0.1875</c:v>
                </c:pt>
                <c:pt idx="1005">
                  <c:v>0.19159999999999999</c:v>
                </c:pt>
                <c:pt idx="1006">
                  <c:v>0.1948</c:v>
                </c:pt>
                <c:pt idx="1007">
                  <c:v>0.19819999999999999</c:v>
                </c:pt>
                <c:pt idx="1008">
                  <c:v>0.19689999999999999</c:v>
                </c:pt>
                <c:pt idx="1009">
                  <c:v>0.1971</c:v>
                </c:pt>
                <c:pt idx="1010">
                  <c:v>0.19639999999999999</c:v>
                </c:pt>
                <c:pt idx="1011">
                  <c:v>0.19650000000000001</c:v>
                </c:pt>
                <c:pt idx="1012">
                  <c:v>0.19289999999999999</c:v>
                </c:pt>
                <c:pt idx="1013">
                  <c:v>0.19400000000000001</c:v>
                </c:pt>
                <c:pt idx="1014">
                  <c:v>0.19109999999999999</c:v>
                </c:pt>
                <c:pt idx="1015">
                  <c:v>0.18590000000000001</c:v>
                </c:pt>
                <c:pt idx="1016">
                  <c:v>0.18740000000000001</c:v>
                </c:pt>
                <c:pt idx="1017">
                  <c:v>0.19259999999999999</c:v>
                </c:pt>
                <c:pt idx="1018">
                  <c:v>0.19239999999999999</c:v>
                </c:pt>
                <c:pt idx="1019">
                  <c:v>0.19239999999999999</c:v>
                </c:pt>
                <c:pt idx="1020">
                  <c:v>0.19209999999999999</c:v>
                </c:pt>
                <c:pt idx="1021">
                  <c:v>0.18959999999999999</c:v>
                </c:pt>
                <c:pt idx="1022">
                  <c:v>0.191</c:v>
                </c:pt>
                <c:pt idx="1023">
                  <c:v>0.18779999999999999</c:v>
                </c:pt>
                <c:pt idx="1024">
                  <c:v>0.1888</c:v>
                </c:pt>
                <c:pt idx="1025">
                  <c:v>0.18740000000000001</c:v>
                </c:pt>
                <c:pt idx="1026">
                  <c:v>0.1875</c:v>
                </c:pt>
                <c:pt idx="1027">
                  <c:v>0.18340000000000001</c:v>
                </c:pt>
                <c:pt idx="1028">
                  <c:v>0.18190000000000001</c:v>
                </c:pt>
                <c:pt idx="1029">
                  <c:v>0.18049999999999999</c:v>
                </c:pt>
                <c:pt idx="1030">
                  <c:v>0.17829999999999999</c:v>
                </c:pt>
                <c:pt idx="1031">
                  <c:v>0.18110000000000001</c:v>
                </c:pt>
                <c:pt idx="1032">
                  <c:v>0.18340000000000001</c:v>
                </c:pt>
                <c:pt idx="1033">
                  <c:v>0.18090000000000001</c:v>
                </c:pt>
                <c:pt idx="1034">
                  <c:v>0.18310000000000001</c:v>
                </c:pt>
                <c:pt idx="1035">
                  <c:v>0.18310000000000001</c:v>
                </c:pt>
                <c:pt idx="1036">
                  <c:v>0.18659999999999999</c:v>
                </c:pt>
                <c:pt idx="1037">
                  <c:v>0.19070000000000001</c:v>
                </c:pt>
                <c:pt idx="1038">
                  <c:v>0.1893</c:v>
                </c:pt>
                <c:pt idx="1039">
                  <c:v>0.189</c:v>
                </c:pt>
                <c:pt idx="1040">
                  <c:v>0.18809999999999999</c:v>
                </c:pt>
                <c:pt idx="1041">
                  <c:v>0.18779999999999999</c:v>
                </c:pt>
                <c:pt idx="1042">
                  <c:v>0.18490000000000001</c:v>
                </c:pt>
                <c:pt idx="1043">
                  <c:v>0.18410000000000001</c:v>
                </c:pt>
                <c:pt idx="1044">
                  <c:v>0.182</c:v>
                </c:pt>
                <c:pt idx="1045">
                  <c:v>0.1822</c:v>
                </c:pt>
                <c:pt idx="1046">
                  <c:v>0.18479999999999999</c:v>
                </c:pt>
                <c:pt idx="1047">
                  <c:v>0.17929999999999999</c:v>
                </c:pt>
                <c:pt idx="1048">
                  <c:v>0.1799</c:v>
                </c:pt>
                <c:pt idx="1049">
                  <c:v>0.18229999999999999</c:v>
                </c:pt>
                <c:pt idx="1050">
                  <c:v>0.18049999999999999</c:v>
                </c:pt>
                <c:pt idx="1051">
                  <c:v>0.18079999999999999</c:v>
                </c:pt>
                <c:pt idx="1052">
                  <c:v>0.18479999999999999</c:v>
                </c:pt>
                <c:pt idx="1053">
                  <c:v>0.183</c:v>
                </c:pt>
                <c:pt idx="1054">
                  <c:v>0.18260000000000001</c:v>
                </c:pt>
                <c:pt idx="1055">
                  <c:v>0.1812</c:v>
                </c:pt>
                <c:pt idx="1056">
                  <c:v>0.1807</c:v>
                </c:pt>
                <c:pt idx="1057">
                  <c:v>0.1807</c:v>
                </c:pt>
                <c:pt idx="1058">
                  <c:v>0.18279999999999999</c:v>
                </c:pt>
                <c:pt idx="1059">
                  <c:v>0.182</c:v>
                </c:pt>
                <c:pt idx="1060">
                  <c:v>0.182</c:v>
                </c:pt>
                <c:pt idx="1061">
                  <c:v>0.18479999999999999</c:v>
                </c:pt>
                <c:pt idx="1062">
                  <c:v>0.184</c:v>
                </c:pt>
                <c:pt idx="1063">
                  <c:v>0.18160000000000001</c:v>
                </c:pt>
                <c:pt idx="1064">
                  <c:v>0.17760000000000001</c:v>
                </c:pt>
                <c:pt idx="1065">
                  <c:v>0.17760000000000001</c:v>
                </c:pt>
                <c:pt idx="1066">
                  <c:v>0.18340000000000001</c:v>
                </c:pt>
                <c:pt idx="1067">
                  <c:v>0.18640000000000001</c:v>
                </c:pt>
                <c:pt idx="1068">
                  <c:v>0.1893</c:v>
                </c:pt>
                <c:pt idx="1069">
                  <c:v>0.19350000000000001</c:v>
                </c:pt>
                <c:pt idx="1070">
                  <c:v>0.19270000000000001</c:v>
                </c:pt>
                <c:pt idx="1071">
                  <c:v>0.1943</c:v>
                </c:pt>
                <c:pt idx="1072">
                  <c:v>0.18940000000000001</c:v>
                </c:pt>
                <c:pt idx="1073">
                  <c:v>0.191</c:v>
                </c:pt>
                <c:pt idx="1074">
                  <c:v>0.19239999999999999</c:v>
                </c:pt>
                <c:pt idx="1075">
                  <c:v>0.1913</c:v>
                </c:pt>
                <c:pt idx="1076">
                  <c:v>0.18729999999999999</c:v>
                </c:pt>
                <c:pt idx="1077">
                  <c:v>0.18559999999999999</c:v>
                </c:pt>
                <c:pt idx="1078">
                  <c:v>0.18690000000000001</c:v>
                </c:pt>
                <c:pt idx="1079">
                  <c:v>0.1893</c:v>
                </c:pt>
                <c:pt idx="1080">
                  <c:v>0.1928</c:v>
                </c:pt>
                <c:pt idx="1081">
                  <c:v>0.1915</c:v>
                </c:pt>
                <c:pt idx="1082">
                  <c:v>0.19239999999999999</c:v>
                </c:pt>
                <c:pt idx="1083">
                  <c:v>0.19259999999999999</c:v>
                </c:pt>
                <c:pt idx="1084">
                  <c:v>0.1961</c:v>
                </c:pt>
                <c:pt idx="1085">
                  <c:v>0.19589999999999999</c:v>
                </c:pt>
                <c:pt idx="1086">
                  <c:v>0.19109999999999999</c:v>
                </c:pt>
                <c:pt idx="1087">
                  <c:v>0.19470000000000001</c:v>
                </c:pt>
                <c:pt idx="1088">
                  <c:v>0.19489999999999999</c:v>
                </c:pt>
                <c:pt idx="1089">
                  <c:v>0.19370000000000001</c:v>
                </c:pt>
                <c:pt idx="1090">
                  <c:v>0.1961</c:v>
                </c:pt>
                <c:pt idx="1091">
                  <c:v>0.19650000000000001</c:v>
                </c:pt>
                <c:pt idx="1092">
                  <c:v>0.19589999999999999</c:v>
                </c:pt>
                <c:pt idx="1093">
                  <c:v>0.19839999999999999</c:v>
                </c:pt>
                <c:pt idx="1094">
                  <c:v>0.2041</c:v>
                </c:pt>
                <c:pt idx="1095">
                  <c:v>0.2031</c:v>
                </c:pt>
                <c:pt idx="1096">
                  <c:v>0.20219999999999999</c:v>
                </c:pt>
                <c:pt idx="1097">
                  <c:v>0.20100000000000001</c:v>
                </c:pt>
                <c:pt idx="1098">
                  <c:v>0.2006</c:v>
                </c:pt>
                <c:pt idx="1099">
                  <c:v>0.2026</c:v>
                </c:pt>
                <c:pt idx="1100">
                  <c:v>0.19739999999999999</c:v>
                </c:pt>
                <c:pt idx="1101">
                  <c:v>0.19620000000000001</c:v>
                </c:pt>
                <c:pt idx="1102">
                  <c:v>0.19869999999999999</c:v>
                </c:pt>
                <c:pt idx="1103">
                  <c:v>0.19239999999999999</c:v>
                </c:pt>
                <c:pt idx="1104">
                  <c:v>0.1895</c:v>
                </c:pt>
                <c:pt idx="1105">
                  <c:v>0.1898</c:v>
                </c:pt>
                <c:pt idx="1106">
                  <c:v>0.18970000000000001</c:v>
                </c:pt>
                <c:pt idx="1107">
                  <c:v>0.19309999999999999</c:v>
                </c:pt>
                <c:pt idx="1108">
                  <c:v>0.19189999999999999</c:v>
                </c:pt>
                <c:pt idx="1109">
                  <c:v>0.1885</c:v>
                </c:pt>
                <c:pt idx="1110">
                  <c:v>0.1862</c:v>
                </c:pt>
                <c:pt idx="1111">
                  <c:v>0.1862</c:v>
                </c:pt>
                <c:pt idx="1112">
                  <c:v>0.18779999999999999</c:v>
                </c:pt>
                <c:pt idx="1113">
                  <c:v>0.19159999999999999</c:v>
                </c:pt>
                <c:pt idx="1114">
                  <c:v>0.18659999999999999</c:v>
                </c:pt>
                <c:pt idx="1115">
                  <c:v>0.18540000000000001</c:v>
                </c:pt>
                <c:pt idx="1116">
                  <c:v>0.1855</c:v>
                </c:pt>
                <c:pt idx="1117">
                  <c:v>0.18640000000000001</c:v>
                </c:pt>
                <c:pt idx="1118">
                  <c:v>0.19170000000000001</c:v>
                </c:pt>
                <c:pt idx="1119">
                  <c:v>0.1968</c:v>
                </c:pt>
                <c:pt idx="1120">
                  <c:v>0.2</c:v>
                </c:pt>
                <c:pt idx="1121">
                  <c:v>0.1983</c:v>
                </c:pt>
                <c:pt idx="1122">
                  <c:v>0.19769999999999999</c:v>
                </c:pt>
                <c:pt idx="1123">
                  <c:v>0.19950000000000001</c:v>
                </c:pt>
                <c:pt idx="1124">
                  <c:v>0.19769999999999999</c:v>
                </c:pt>
                <c:pt idx="1125">
                  <c:v>0.19750000000000001</c:v>
                </c:pt>
                <c:pt idx="1126">
                  <c:v>0.1968</c:v>
                </c:pt>
                <c:pt idx="1127">
                  <c:v>0.19539999999999999</c:v>
                </c:pt>
                <c:pt idx="1128">
                  <c:v>0.1961</c:v>
                </c:pt>
                <c:pt idx="1129">
                  <c:v>0.1961</c:v>
                </c:pt>
                <c:pt idx="1130">
                  <c:v>0.19400000000000001</c:v>
                </c:pt>
                <c:pt idx="1131">
                  <c:v>0.19439999999999999</c:v>
                </c:pt>
                <c:pt idx="1132">
                  <c:v>0.19350000000000001</c:v>
                </c:pt>
                <c:pt idx="1133">
                  <c:v>0.19289999999999999</c:v>
                </c:pt>
                <c:pt idx="1134">
                  <c:v>0.1956</c:v>
                </c:pt>
                <c:pt idx="1135">
                  <c:v>0.18970000000000001</c:v>
                </c:pt>
                <c:pt idx="1136">
                  <c:v>0.1898</c:v>
                </c:pt>
                <c:pt idx="1137">
                  <c:v>0.19289999999999999</c:v>
                </c:pt>
                <c:pt idx="1138">
                  <c:v>0.18870000000000001</c:v>
                </c:pt>
                <c:pt idx="1139">
                  <c:v>0.18709999999999999</c:v>
                </c:pt>
                <c:pt idx="1140">
                  <c:v>0.187</c:v>
                </c:pt>
                <c:pt idx="1141">
                  <c:v>0.18459999999999999</c:v>
                </c:pt>
                <c:pt idx="1142">
                  <c:v>0.18579999999999999</c:v>
                </c:pt>
                <c:pt idx="1143">
                  <c:v>0.186</c:v>
                </c:pt>
                <c:pt idx="1144">
                  <c:v>0.186</c:v>
                </c:pt>
                <c:pt idx="1145">
                  <c:v>0.18659999999999999</c:v>
                </c:pt>
                <c:pt idx="1146">
                  <c:v>0.1845</c:v>
                </c:pt>
                <c:pt idx="1147">
                  <c:v>0.18379999999999999</c:v>
                </c:pt>
                <c:pt idx="1148">
                  <c:v>0.1837</c:v>
                </c:pt>
                <c:pt idx="1149">
                  <c:v>0.18290000000000001</c:v>
                </c:pt>
                <c:pt idx="1150">
                  <c:v>0.18260000000000001</c:v>
                </c:pt>
                <c:pt idx="1151">
                  <c:v>0.18479999999999999</c:v>
                </c:pt>
                <c:pt idx="1152">
                  <c:v>0.1855</c:v>
                </c:pt>
                <c:pt idx="1153">
                  <c:v>0.1847</c:v>
                </c:pt>
                <c:pt idx="1154">
                  <c:v>0.18060000000000001</c:v>
                </c:pt>
                <c:pt idx="1155">
                  <c:v>0.1807</c:v>
                </c:pt>
                <c:pt idx="1156">
                  <c:v>0.17810000000000001</c:v>
                </c:pt>
                <c:pt idx="1157">
                  <c:v>0.17979999999999999</c:v>
                </c:pt>
                <c:pt idx="1158">
                  <c:v>0.18509999999999999</c:v>
                </c:pt>
                <c:pt idx="1159">
                  <c:v>0.19040000000000001</c:v>
                </c:pt>
                <c:pt idx="1160">
                  <c:v>0.189</c:v>
                </c:pt>
                <c:pt idx="1161">
                  <c:v>0.187</c:v>
                </c:pt>
                <c:pt idx="1162">
                  <c:v>0.1913</c:v>
                </c:pt>
                <c:pt idx="1163">
                  <c:v>0.1898</c:v>
                </c:pt>
                <c:pt idx="1164">
                  <c:v>0.1915</c:v>
                </c:pt>
                <c:pt idx="1165">
                  <c:v>0.1888</c:v>
                </c:pt>
                <c:pt idx="1166">
                  <c:v>0.18679999999999999</c:v>
                </c:pt>
                <c:pt idx="1167">
                  <c:v>0.18340000000000001</c:v>
                </c:pt>
                <c:pt idx="1168">
                  <c:v>0.1789</c:v>
                </c:pt>
                <c:pt idx="1169">
                  <c:v>0.17480000000000001</c:v>
                </c:pt>
                <c:pt idx="1170">
                  <c:v>0.17449999999999999</c:v>
                </c:pt>
                <c:pt idx="1171">
                  <c:v>0.17399999999999999</c:v>
                </c:pt>
                <c:pt idx="1172">
                  <c:v>0.17730000000000001</c:v>
                </c:pt>
                <c:pt idx="1173">
                  <c:v>0.17549999999999999</c:v>
                </c:pt>
                <c:pt idx="1174">
                  <c:v>0.1764</c:v>
                </c:pt>
                <c:pt idx="1175">
                  <c:v>0.1767</c:v>
                </c:pt>
                <c:pt idx="1176">
                  <c:v>0.1779</c:v>
                </c:pt>
                <c:pt idx="1177">
                  <c:v>0.17599999999999999</c:v>
                </c:pt>
                <c:pt idx="1178">
                  <c:v>0.17960000000000001</c:v>
                </c:pt>
                <c:pt idx="1179">
                  <c:v>0.17929999999999999</c:v>
                </c:pt>
                <c:pt idx="1180">
                  <c:v>0.1799</c:v>
                </c:pt>
                <c:pt idx="1181">
                  <c:v>0.18240000000000001</c:v>
                </c:pt>
                <c:pt idx="1182">
                  <c:v>0.185</c:v>
                </c:pt>
                <c:pt idx="1183">
                  <c:v>0.18629999999999999</c:v>
                </c:pt>
                <c:pt idx="1184">
                  <c:v>0.1855</c:v>
                </c:pt>
                <c:pt idx="1185">
                  <c:v>0.18279999999999999</c:v>
                </c:pt>
                <c:pt idx="1186">
                  <c:v>0.1825</c:v>
                </c:pt>
                <c:pt idx="1187">
                  <c:v>0.17780000000000001</c:v>
                </c:pt>
                <c:pt idx="1188">
                  <c:v>0.18060000000000001</c:v>
                </c:pt>
                <c:pt idx="1189">
                  <c:v>0.1792</c:v>
                </c:pt>
                <c:pt idx="1190">
                  <c:v>0.17929999999999999</c:v>
                </c:pt>
                <c:pt idx="1191">
                  <c:v>0.1804</c:v>
                </c:pt>
                <c:pt idx="1192">
                  <c:v>0.17910000000000001</c:v>
                </c:pt>
                <c:pt idx="1193">
                  <c:v>0.18459999999999999</c:v>
                </c:pt>
                <c:pt idx="1194">
                  <c:v>0.18410000000000001</c:v>
                </c:pt>
                <c:pt idx="1195">
                  <c:v>0.18140000000000001</c:v>
                </c:pt>
                <c:pt idx="1196">
                  <c:v>0.17899999999999999</c:v>
                </c:pt>
                <c:pt idx="1197">
                  <c:v>0.1802</c:v>
                </c:pt>
                <c:pt idx="1198">
                  <c:v>0.18140000000000001</c:v>
                </c:pt>
                <c:pt idx="1199">
                  <c:v>0.18140000000000001</c:v>
                </c:pt>
                <c:pt idx="1200">
                  <c:v>0.17979999999999999</c:v>
                </c:pt>
                <c:pt idx="1201">
                  <c:v>0.18090000000000001</c:v>
                </c:pt>
                <c:pt idx="1202">
                  <c:v>0.17910000000000001</c:v>
                </c:pt>
                <c:pt idx="1203">
                  <c:v>0.18229999999999999</c:v>
                </c:pt>
                <c:pt idx="1204">
                  <c:v>0.18379999999999999</c:v>
                </c:pt>
                <c:pt idx="1205">
                  <c:v>0.18379999999999999</c:v>
                </c:pt>
                <c:pt idx="1206">
                  <c:v>0.18290000000000001</c:v>
                </c:pt>
                <c:pt idx="1207">
                  <c:v>0.182</c:v>
                </c:pt>
                <c:pt idx="1208">
                  <c:v>0.17929999999999999</c:v>
                </c:pt>
                <c:pt idx="1209">
                  <c:v>0.17699999999999999</c:v>
                </c:pt>
                <c:pt idx="1210">
                  <c:v>0.18149999999999999</c:v>
                </c:pt>
                <c:pt idx="1211">
                  <c:v>0.18229999999999999</c:v>
                </c:pt>
                <c:pt idx="1212">
                  <c:v>0.185</c:v>
                </c:pt>
                <c:pt idx="1213">
                  <c:v>0.1827</c:v>
                </c:pt>
                <c:pt idx="1214">
                  <c:v>0.17610000000000001</c:v>
                </c:pt>
                <c:pt idx="1215">
                  <c:v>0.17630000000000001</c:v>
                </c:pt>
                <c:pt idx="1216">
                  <c:v>0.17710000000000001</c:v>
                </c:pt>
                <c:pt idx="1217">
                  <c:v>0.1777</c:v>
                </c:pt>
                <c:pt idx="1218">
                  <c:v>0.1767</c:v>
                </c:pt>
                <c:pt idx="1219">
                  <c:v>0.1744</c:v>
                </c:pt>
                <c:pt idx="1220">
                  <c:v>0.17879999999999999</c:v>
                </c:pt>
                <c:pt idx="1221">
                  <c:v>0.17929999999999999</c:v>
                </c:pt>
                <c:pt idx="1222">
                  <c:v>0.18379999999999999</c:v>
                </c:pt>
                <c:pt idx="1223">
                  <c:v>0.18709999999999999</c:v>
                </c:pt>
                <c:pt idx="1224">
                  <c:v>0.18640000000000001</c:v>
                </c:pt>
                <c:pt idx="1225">
                  <c:v>0.18709999999999999</c:v>
                </c:pt>
                <c:pt idx="1226">
                  <c:v>0.18679999999999999</c:v>
                </c:pt>
                <c:pt idx="1227">
                  <c:v>0.18779999999999999</c:v>
                </c:pt>
                <c:pt idx="1228">
                  <c:v>0.18809999999999999</c:v>
                </c:pt>
                <c:pt idx="1229">
                  <c:v>0.18729999999999999</c:v>
                </c:pt>
                <c:pt idx="1230">
                  <c:v>0.187</c:v>
                </c:pt>
                <c:pt idx="1231">
                  <c:v>0.18609999999999999</c:v>
                </c:pt>
                <c:pt idx="1232">
                  <c:v>0.184</c:v>
                </c:pt>
                <c:pt idx="1233">
                  <c:v>0.18379999999999999</c:v>
                </c:pt>
                <c:pt idx="1234">
                  <c:v>0.1812</c:v>
                </c:pt>
                <c:pt idx="1235">
                  <c:v>0.18099999999999999</c:v>
                </c:pt>
                <c:pt idx="1236">
                  <c:v>0.17860000000000001</c:v>
                </c:pt>
                <c:pt idx="1237">
                  <c:v>0.17710000000000001</c:v>
                </c:pt>
                <c:pt idx="1238">
                  <c:v>0.1762</c:v>
                </c:pt>
                <c:pt idx="1239">
                  <c:v>0.1799</c:v>
                </c:pt>
                <c:pt idx="1240">
                  <c:v>0.1837</c:v>
                </c:pt>
                <c:pt idx="1241">
                  <c:v>0.18479999999999999</c:v>
                </c:pt>
                <c:pt idx="1242">
                  <c:v>0.18479999999999999</c:v>
                </c:pt>
                <c:pt idx="1243">
                  <c:v>0.18679999999999999</c:v>
                </c:pt>
                <c:pt idx="1244">
                  <c:v>0.1867</c:v>
                </c:pt>
                <c:pt idx="1245">
                  <c:v>0.19020000000000001</c:v>
                </c:pt>
                <c:pt idx="1246">
                  <c:v>0.193</c:v>
                </c:pt>
                <c:pt idx="1247">
                  <c:v>0.19389999999999999</c:v>
                </c:pt>
                <c:pt idx="1248">
                  <c:v>0.1961</c:v>
                </c:pt>
                <c:pt idx="1249">
                  <c:v>0.19819999999999999</c:v>
                </c:pt>
                <c:pt idx="1250">
                  <c:v>0.2031</c:v>
                </c:pt>
                <c:pt idx="1251">
                  <c:v>0.2026</c:v>
                </c:pt>
                <c:pt idx="1252">
                  <c:v>0.19719999999999999</c:v>
                </c:pt>
                <c:pt idx="1253">
                  <c:v>0.20069999999999999</c:v>
                </c:pt>
                <c:pt idx="1254">
                  <c:v>0.19889999999999999</c:v>
                </c:pt>
                <c:pt idx="1255">
                  <c:v>0.19750000000000001</c:v>
                </c:pt>
                <c:pt idx="1256">
                  <c:v>0.19550000000000001</c:v>
                </c:pt>
                <c:pt idx="1257">
                  <c:v>0.19550000000000001</c:v>
                </c:pt>
                <c:pt idx="1258">
                  <c:v>0.19309999999999999</c:v>
                </c:pt>
                <c:pt idx="1259">
                  <c:v>0.19439999999999999</c:v>
                </c:pt>
                <c:pt idx="1260">
                  <c:v>0.1951</c:v>
                </c:pt>
                <c:pt idx="1261">
                  <c:v>0.19600000000000001</c:v>
                </c:pt>
                <c:pt idx="1262">
                  <c:v>0.19620000000000001</c:v>
                </c:pt>
                <c:pt idx="1263">
                  <c:v>0.19489999999999999</c:v>
                </c:pt>
                <c:pt idx="1264">
                  <c:v>0.19570000000000001</c:v>
                </c:pt>
                <c:pt idx="1265">
                  <c:v>0.1938</c:v>
                </c:pt>
                <c:pt idx="1266">
                  <c:v>0.19489999999999999</c:v>
                </c:pt>
                <c:pt idx="1267">
                  <c:v>0.19689999999999999</c:v>
                </c:pt>
                <c:pt idx="1268">
                  <c:v>0.1961</c:v>
                </c:pt>
                <c:pt idx="1269">
                  <c:v>0.19370000000000001</c:v>
                </c:pt>
                <c:pt idx="1270">
                  <c:v>0.1971</c:v>
                </c:pt>
                <c:pt idx="1271">
                  <c:v>0.20319999999999999</c:v>
                </c:pt>
                <c:pt idx="1272">
                  <c:v>0.19919999999999999</c:v>
                </c:pt>
                <c:pt idx="1273">
                  <c:v>0.20119999999999999</c:v>
                </c:pt>
                <c:pt idx="1274">
                  <c:v>0.2019</c:v>
                </c:pt>
                <c:pt idx="1275">
                  <c:v>0.20619999999999999</c:v>
                </c:pt>
                <c:pt idx="1276">
                  <c:v>0.20749999999999999</c:v>
                </c:pt>
                <c:pt idx="1277">
                  <c:v>0.20910000000000001</c:v>
                </c:pt>
                <c:pt idx="1278">
                  <c:v>0.20979999999999999</c:v>
                </c:pt>
                <c:pt idx="1279">
                  <c:v>0.20979999999999999</c:v>
                </c:pt>
                <c:pt idx="1280">
                  <c:v>0.20269999999999999</c:v>
                </c:pt>
                <c:pt idx="1281">
                  <c:v>0.20150000000000001</c:v>
                </c:pt>
                <c:pt idx="1282">
                  <c:v>0.2031</c:v>
                </c:pt>
                <c:pt idx="1283">
                  <c:v>0.20050000000000001</c:v>
                </c:pt>
                <c:pt idx="1284">
                  <c:v>0.20050000000000001</c:v>
                </c:pt>
                <c:pt idx="1285">
                  <c:v>0.19719999999999999</c:v>
                </c:pt>
                <c:pt idx="1286">
                  <c:v>0.1968</c:v>
                </c:pt>
                <c:pt idx="1287">
                  <c:v>0.1968</c:v>
                </c:pt>
                <c:pt idx="1288">
                  <c:v>0.1968</c:v>
                </c:pt>
                <c:pt idx="1289">
                  <c:v>0.1966</c:v>
                </c:pt>
                <c:pt idx="1290">
                  <c:v>0.1966</c:v>
                </c:pt>
                <c:pt idx="1291">
                  <c:v>0.1968</c:v>
                </c:pt>
                <c:pt idx="1292">
                  <c:v>0.1968</c:v>
                </c:pt>
                <c:pt idx="1293">
                  <c:v>0.1968</c:v>
                </c:pt>
                <c:pt idx="1294">
                  <c:v>0.1968</c:v>
                </c:pt>
                <c:pt idx="1295">
                  <c:v>0.1966</c:v>
                </c:pt>
                <c:pt idx="1296">
                  <c:v>0.1966</c:v>
                </c:pt>
                <c:pt idx="1297">
                  <c:v>0.1966</c:v>
                </c:pt>
                <c:pt idx="1298">
                  <c:v>0.1968</c:v>
                </c:pt>
                <c:pt idx="1299">
                  <c:v>0.1968</c:v>
                </c:pt>
                <c:pt idx="1300">
                  <c:v>0.1986</c:v>
                </c:pt>
                <c:pt idx="1301">
                  <c:v>0.20069999999999999</c:v>
                </c:pt>
                <c:pt idx="1302">
                  <c:v>0.20730000000000001</c:v>
                </c:pt>
                <c:pt idx="1303">
                  <c:v>0.20730000000000001</c:v>
                </c:pt>
                <c:pt idx="1304">
                  <c:v>0.21199999999999999</c:v>
                </c:pt>
                <c:pt idx="1305">
                  <c:v>0.21779999999999999</c:v>
                </c:pt>
                <c:pt idx="1306">
                  <c:v>0.21360000000000001</c:v>
                </c:pt>
                <c:pt idx="1307">
                  <c:v>0.21679999999999999</c:v>
                </c:pt>
                <c:pt idx="1308">
                  <c:v>0.21299999999999999</c:v>
                </c:pt>
                <c:pt idx="1309">
                  <c:v>0.20649999999999999</c:v>
                </c:pt>
                <c:pt idx="1310">
                  <c:v>0.2087</c:v>
                </c:pt>
                <c:pt idx="1311">
                  <c:v>0.2117</c:v>
                </c:pt>
                <c:pt idx="1312">
                  <c:v>0.21460000000000001</c:v>
                </c:pt>
                <c:pt idx="1313">
                  <c:v>0.21529999999999999</c:v>
                </c:pt>
                <c:pt idx="1314">
                  <c:v>0.2127</c:v>
                </c:pt>
                <c:pt idx="1315">
                  <c:v>0.215</c:v>
                </c:pt>
                <c:pt idx="1316">
                  <c:v>0.21340000000000001</c:v>
                </c:pt>
                <c:pt idx="1317">
                  <c:v>0.21460000000000001</c:v>
                </c:pt>
                <c:pt idx="1318">
                  <c:v>0.214</c:v>
                </c:pt>
                <c:pt idx="1319">
                  <c:v>0.214</c:v>
                </c:pt>
                <c:pt idx="1320">
                  <c:v>0.2137</c:v>
                </c:pt>
                <c:pt idx="1321">
                  <c:v>0.21290000000000001</c:v>
                </c:pt>
                <c:pt idx="1322">
                  <c:v>0.2165</c:v>
                </c:pt>
                <c:pt idx="1323">
                  <c:v>0.2132</c:v>
                </c:pt>
                <c:pt idx="1324">
                  <c:v>0.2026</c:v>
                </c:pt>
                <c:pt idx="1325">
                  <c:v>0.2001</c:v>
                </c:pt>
                <c:pt idx="1326">
                  <c:v>0.2056</c:v>
                </c:pt>
                <c:pt idx="1327">
                  <c:v>0.2029</c:v>
                </c:pt>
                <c:pt idx="1328">
                  <c:v>0.20910000000000001</c:v>
                </c:pt>
                <c:pt idx="1329">
                  <c:v>0.20880000000000001</c:v>
                </c:pt>
                <c:pt idx="1330">
                  <c:v>0.21029999999999999</c:v>
                </c:pt>
                <c:pt idx="1331">
                  <c:v>0.20860000000000001</c:v>
                </c:pt>
                <c:pt idx="1332">
                  <c:v>0.21129999999999999</c:v>
                </c:pt>
                <c:pt idx="1333">
                  <c:v>0.21160000000000001</c:v>
                </c:pt>
                <c:pt idx="1334">
                  <c:v>0.20860000000000001</c:v>
                </c:pt>
                <c:pt idx="1335">
                  <c:v>0.20660000000000001</c:v>
                </c:pt>
                <c:pt idx="1336">
                  <c:v>0.20519999999999999</c:v>
                </c:pt>
                <c:pt idx="1337">
                  <c:v>0.20749999999999999</c:v>
                </c:pt>
                <c:pt idx="1338">
                  <c:v>0.20680000000000001</c:v>
                </c:pt>
                <c:pt idx="1339">
                  <c:v>0.2051</c:v>
                </c:pt>
                <c:pt idx="1340">
                  <c:v>0.20799999999999999</c:v>
                </c:pt>
                <c:pt idx="1341">
                  <c:v>0.21160000000000001</c:v>
                </c:pt>
                <c:pt idx="1342">
                  <c:v>0.20960000000000001</c:v>
                </c:pt>
                <c:pt idx="1343">
                  <c:v>0.2084</c:v>
                </c:pt>
                <c:pt idx="1344">
                  <c:v>0.2099</c:v>
                </c:pt>
                <c:pt idx="1345">
                  <c:v>0.2137</c:v>
                </c:pt>
                <c:pt idx="1346">
                  <c:v>0.21249999999999999</c:v>
                </c:pt>
                <c:pt idx="1347">
                  <c:v>0.21959999999999999</c:v>
                </c:pt>
                <c:pt idx="1348">
                  <c:v>0.223</c:v>
                </c:pt>
                <c:pt idx="1349">
                  <c:v>0.224</c:v>
                </c:pt>
                <c:pt idx="1350">
                  <c:v>0.22470000000000001</c:v>
                </c:pt>
                <c:pt idx="1351">
                  <c:v>0.22950000000000001</c:v>
                </c:pt>
                <c:pt idx="1352">
                  <c:v>0.23630000000000001</c:v>
                </c:pt>
                <c:pt idx="1353">
                  <c:v>0.23630000000000001</c:v>
                </c:pt>
                <c:pt idx="1354">
                  <c:v>0.2356</c:v>
                </c:pt>
                <c:pt idx="1355">
                  <c:v>0.2437</c:v>
                </c:pt>
                <c:pt idx="1356">
                  <c:v>0.24049999999999999</c:v>
                </c:pt>
                <c:pt idx="1357">
                  <c:v>0.2404</c:v>
                </c:pt>
                <c:pt idx="1358">
                  <c:v>0.24129999999999999</c:v>
                </c:pt>
                <c:pt idx="1359">
                  <c:v>0.24440000000000001</c:v>
                </c:pt>
                <c:pt idx="1360">
                  <c:v>0.24540000000000001</c:v>
                </c:pt>
                <c:pt idx="1361">
                  <c:v>0.2437</c:v>
                </c:pt>
                <c:pt idx="1362">
                  <c:v>0.2525</c:v>
                </c:pt>
                <c:pt idx="1363">
                  <c:v>0.24829999999999999</c:v>
                </c:pt>
                <c:pt idx="1364">
                  <c:v>0.2591</c:v>
                </c:pt>
                <c:pt idx="1365">
                  <c:v>0.26740000000000003</c:v>
                </c:pt>
                <c:pt idx="1366">
                  <c:v>0.2651</c:v>
                </c:pt>
                <c:pt idx="1367">
                  <c:v>0.26989999999999997</c:v>
                </c:pt>
                <c:pt idx="1368">
                  <c:v>0.26369999999999999</c:v>
                </c:pt>
                <c:pt idx="1369">
                  <c:v>0.25540000000000002</c:v>
                </c:pt>
                <c:pt idx="1370">
                  <c:v>0.25140000000000001</c:v>
                </c:pt>
                <c:pt idx="1371">
                  <c:v>0.25169999999999998</c:v>
                </c:pt>
                <c:pt idx="1372">
                  <c:v>0.25519999999999998</c:v>
                </c:pt>
                <c:pt idx="1373">
                  <c:v>0.26440000000000002</c:v>
                </c:pt>
                <c:pt idx="1374">
                  <c:v>0.26090000000000002</c:v>
                </c:pt>
                <c:pt idx="1375">
                  <c:v>0.26190000000000002</c:v>
                </c:pt>
                <c:pt idx="1376">
                  <c:v>0.2666</c:v>
                </c:pt>
                <c:pt idx="1377">
                  <c:v>0.26019999999999999</c:v>
                </c:pt>
                <c:pt idx="1378">
                  <c:v>0.26200000000000001</c:v>
                </c:pt>
                <c:pt idx="1379">
                  <c:v>0.26290000000000002</c:v>
                </c:pt>
                <c:pt idx="1380">
                  <c:v>0.26069999999999999</c:v>
                </c:pt>
                <c:pt idx="1381">
                  <c:v>0.2591</c:v>
                </c:pt>
                <c:pt idx="1382">
                  <c:v>0.25609999999999999</c:v>
                </c:pt>
                <c:pt idx="1383">
                  <c:v>0.25800000000000001</c:v>
                </c:pt>
                <c:pt idx="1384">
                  <c:v>0.25990000000000002</c:v>
                </c:pt>
                <c:pt idx="1385">
                  <c:v>0.2581</c:v>
                </c:pt>
                <c:pt idx="1386">
                  <c:v>0.25490000000000002</c:v>
                </c:pt>
                <c:pt idx="1387">
                  <c:v>0.24829999999999999</c:v>
                </c:pt>
                <c:pt idx="1388">
                  <c:v>0.25409999999999999</c:v>
                </c:pt>
                <c:pt idx="1389">
                  <c:v>0.25369999999999998</c:v>
                </c:pt>
                <c:pt idx="1390">
                  <c:v>0.25330000000000003</c:v>
                </c:pt>
                <c:pt idx="1391">
                  <c:v>0.25059999999999999</c:v>
                </c:pt>
                <c:pt idx="1392">
                  <c:v>0.24879999999999999</c:v>
                </c:pt>
                <c:pt idx="1393">
                  <c:v>0.24740000000000001</c:v>
                </c:pt>
                <c:pt idx="1394">
                  <c:v>0.24399999999999999</c:v>
                </c:pt>
                <c:pt idx="1395">
                  <c:v>0.24579999999999999</c:v>
                </c:pt>
                <c:pt idx="1396">
                  <c:v>0.245</c:v>
                </c:pt>
                <c:pt idx="1397">
                  <c:v>0.25480000000000003</c:v>
                </c:pt>
                <c:pt idx="1398">
                  <c:v>0.2535</c:v>
                </c:pt>
                <c:pt idx="1399">
                  <c:v>0.25469999999999998</c:v>
                </c:pt>
                <c:pt idx="1400">
                  <c:v>0.25130000000000002</c:v>
                </c:pt>
                <c:pt idx="1401">
                  <c:v>0.25840000000000002</c:v>
                </c:pt>
                <c:pt idx="1402">
                  <c:v>0.26</c:v>
                </c:pt>
                <c:pt idx="1403">
                  <c:v>0.26329999999999998</c:v>
                </c:pt>
                <c:pt idx="1404">
                  <c:v>0.26329999999999998</c:v>
                </c:pt>
                <c:pt idx="1405">
                  <c:v>0.26219999999999999</c:v>
                </c:pt>
                <c:pt idx="1406">
                  <c:v>0.25879999999999997</c:v>
                </c:pt>
                <c:pt idx="1407">
                  <c:v>0.24929999999999999</c:v>
                </c:pt>
                <c:pt idx="1408">
                  <c:v>0.24429999999999999</c:v>
                </c:pt>
                <c:pt idx="1409">
                  <c:v>0.23719999999999999</c:v>
                </c:pt>
                <c:pt idx="1410">
                  <c:v>0.23130000000000001</c:v>
                </c:pt>
                <c:pt idx="1411">
                  <c:v>0.22589999999999999</c:v>
                </c:pt>
                <c:pt idx="1412">
                  <c:v>0.222</c:v>
                </c:pt>
                <c:pt idx="1413">
                  <c:v>0.22919999999999999</c:v>
                </c:pt>
                <c:pt idx="1414">
                  <c:v>0.23330000000000001</c:v>
                </c:pt>
                <c:pt idx="1415">
                  <c:v>0.23319999999999999</c:v>
                </c:pt>
                <c:pt idx="1416">
                  <c:v>0.23499999999999999</c:v>
                </c:pt>
                <c:pt idx="1417">
                  <c:v>0.23250000000000001</c:v>
                </c:pt>
                <c:pt idx="1418">
                  <c:v>0.2351</c:v>
                </c:pt>
                <c:pt idx="1419">
                  <c:v>0.2344</c:v>
                </c:pt>
                <c:pt idx="1420">
                  <c:v>0.23519999999999999</c:v>
                </c:pt>
                <c:pt idx="1421">
                  <c:v>0.23910000000000001</c:v>
                </c:pt>
                <c:pt idx="1422">
                  <c:v>0.24010000000000001</c:v>
                </c:pt>
                <c:pt idx="1423">
                  <c:v>0.2429</c:v>
                </c:pt>
                <c:pt idx="1424">
                  <c:v>0.23799999999999999</c:v>
                </c:pt>
                <c:pt idx="1425">
                  <c:v>0.23860000000000001</c:v>
                </c:pt>
                <c:pt idx="1426">
                  <c:v>0.24210000000000001</c:v>
                </c:pt>
                <c:pt idx="1427">
                  <c:v>0.2467</c:v>
                </c:pt>
                <c:pt idx="1428">
                  <c:v>0.25090000000000001</c:v>
                </c:pt>
                <c:pt idx="1429">
                  <c:v>0.2492</c:v>
                </c:pt>
                <c:pt idx="1430">
                  <c:v>0.24709999999999999</c:v>
                </c:pt>
                <c:pt idx="1431">
                  <c:v>0.24390000000000001</c:v>
                </c:pt>
                <c:pt idx="1432">
                  <c:v>0.24429999999999999</c:v>
                </c:pt>
                <c:pt idx="1433">
                  <c:v>0.23899999999999999</c:v>
                </c:pt>
                <c:pt idx="1434">
                  <c:v>0.24110000000000001</c:v>
                </c:pt>
                <c:pt idx="1435">
                  <c:v>0.24390000000000001</c:v>
                </c:pt>
                <c:pt idx="1436">
                  <c:v>0.24199999999999999</c:v>
                </c:pt>
                <c:pt idx="1437">
                  <c:v>0.2402</c:v>
                </c:pt>
                <c:pt idx="1438">
                  <c:v>0.23680000000000001</c:v>
                </c:pt>
                <c:pt idx="1439">
                  <c:v>0.23669999999999999</c:v>
                </c:pt>
                <c:pt idx="1440">
                  <c:v>0.23449999999999999</c:v>
                </c:pt>
                <c:pt idx="1441">
                  <c:v>0.23710000000000001</c:v>
                </c:pt>
                <c:pt idx="1442">
                  <c:v>0.23949999999999999</c:v>
                </c:pt>
                <c:pt idx="1443">
                  <c:v>0.24379999999999999</c:v>
                </c:pt>
                <c:pt idx="1444">
                  <c:v>0.24049999999999999</c:v>
                </c:pt>
                <c:pt idx="1445">
                  <c:v>0.23769999999999999</c:v>
                </c:pt>
                <c:pt idx="1446">
                  <c:v>0.24199999999999999</c:v>
                </c:pt>
                <c:pt idx="1447">
                  <c:v>0.24</c:v>
                </c:pt>
                <c:pt idx="1448">
                  <c:v>0.23799999999999999</c:v>
                </c:pt>
                <c:pt idx="1449">
                  <c:v>0.23400000000000001</c:v>
                </c:pt>
                <c:pt idx="1450">
                  <c:v>0.23400000000000001</c:v>
                </c:pt>
                <c:pt idx="1451">
                  <c:v>0.23849999999999999</c:v>
                </c:pt>
                <c:pt idx="1452">
                  <c:v>0.2429</c:v>
                </c:pt>
                <c:pt idx="1453">
                  <c:v>0.24890000000000001</c:v>
                </c:pt>
                <c:pt idx="1454">
                  <c:v>0.25569999999999998</c:v>
                </c:pt>
                <c:pt idx="1455">
                  <c:v>0.2545</c:v>
                </c:pt>
                <c:pt idx="1456">
                  <c:v>0.25340000000000001</c:v>
                </c:pt>
                <c:pt idx="1457">
                  <c:v>0.25059999999999999</c:v>
                </c:pt>
                <c:pt idx="1458">
                  <c:v>0.2586</c:v>
                </c:pt>
                <c:pt idx="1459">
                  <c:v>0.2581</c:v>
                </c:pt>
                <c:pt idx="1460">
                  <c:v>0.26650000000000001</c:v>
                </c:pt>
                <c:pt idx="1461">
                  <c:v>0.26219999999999999</c:v>
                </c:pt>
                <c:pt idx="1462">
                  <c:v>0.26679999999999998</c:v>
                </c:pt>
                <c:pt idx="1463">
                  <c:v>0.26400000000000001</c:v>
                </c:pt>
                <c:pt idx="1464">
                  <c:v>0.26400000000000001</c:v>
                </c:pt>
                <c:pt idx="1465">
                  <c:v>0.26829999999999998</c:v>
                </c:pt>
                <c:pt idx="1466">
                  <c:v>0.26540000000000002</c:v>
                </c:pt>
                <c:pt idx="1467">
                  <c:v>0.26979999999999998</c:v>
                </c:pt>
                <c:pt idx="1468">
                  <c:v>0.26779999999999998</c:v>
                </c:pt>
                <c:pt idx="1469">
                  <c:v>0.27110000000000001</c:v>
                </c:pt>
                <c:pt idx="1470">
                  <c:v>0.27439999999999998</c:v>
                </c:pt>
                <c:pt idx="1471">
                  <c:v>0.26790000000000003</c:v>
                </c:pt>
                <c:pt idx="1472">
                  <c:v>0.26929999999999998</c:v>
                </c:pt>
                <c:pt idx="1473">
                  <c:v>0.2702</c:v>
                </c:pt>
                <c:pt idx="1474">
                  <c:v>0.2631</c:v>
                </c:pt>
                <c:pt idx="1475">
                  <c:v>0.26019999999999999</c:v>
                </c:pt>
                <c:pt idx="1476">
                  <c:v>0.26129999999999998</c:v>
                </c:pt>
                <c:pt idx="1477">
                  <c:v>0.26729999999999998</c:v>
                </c:pt>
                <c:pt idx="1478">
                  <c:v>0.2651</c:v>
                </c:pt>
                <c:pt idx="1479">
                  <c:v>0.26350000000000001</c:v>
                </c:pt>
                <c:pt idx="1480">
                  <c:v>0.25669999999999998</c:v>
                </c:pt>
                <c:pt idx="1481">
                  <c:v>0.25929999999999997</c:v>
                </c:pt>
                <c:pt idx="1482">
                  <c:v>0.2616</c:v>
                </c:pt>
                <c:pt idx="1483">
                  <c:v>0.26769999999999999</c:v>
                </c:pt>
                <c:pt idx="1484">
                  <c:v>0.27179999999999999</c:v>
                </c:pt>
                <c:pt idx="1485">
                  <c:v>0.27050000000000002</c:v>
                </c:pt>
                <c:pt idx="1486">
                  <c:v>0.26400000000000001</c:v>
                </c:pt>
                <c:pt idx="1487">
                  <c:v>0.26350000000000001</c:v>
                </c:pt>
                <c:pt idx="1488">
                  <c:v>0.27079999999999999</c:v>
                </c:pt>
                <c:pt idx="1489">
                  <c:v>0.27050000000000002</c:v>
                </c:pt>
                <c:pt idx="1490">
                  <c:v>0.27489999999999998</c:v>
                </c:pt>
                <c:pt idx="1491">
                  <c:v>0.27479999999999999</c:v>
                </c:pt>
                <c:pt idx="1492">
                  <c:v>0.27289999999999998</c:v>
                </c:pt>
                <c:pt idx="1493">
                  <c:v>0.26850000000000002</c:v>
                </c:pt>
                <c:pt idx="1494">
                  <c:v>0.27479999999999999</c:v>
                </c:pt>
                <c:pt idx="1495">
                  <c:v>0.27529999999999999</c:v>
                </c:pt>
                <c:pt idx="1496">
                  <c:v>0.27660000000000001</c:v>
                </c:pt>
                <c:pt idx="1497">
                  <c:v>0.27039999999999997</c:v>
                </c:pt>
                <c:pt idx="1498">
                  <c:v>0.2737</c:v>
                </c:pt>
                <c:pt idx="1499">
                  <c:v>0.26750000000000002</c:v>
                </c:pt>
                <c:pt idx="1500">
                  <c:v>0.27089999999999997</c:v>
                </c:pt>
                <c:pt idx="1501">
                  <c:v>0.27510000000000001</c:v>
                </c:pt>
                <c:pt idx="1502">
                  <c:v>0.27479999999999999</c:v>
                </c:pt>
                <c:pt idx="1503">
                  <c:v>0.27779999999999999</c:v>
                </c:pt>
                <c:pt idx="1504">
                  <c:v>0.2797</c:v>
                </c:pt>
                <c:pt idx="1505">
                  <c:v>0.27550000000000002</c:v>
                </c:pt>
                <c:pt idx="1506">
                  <c:v>0.27239999999999998</c:v>
                </c:pt>
                <c:pt idx="1507">
                  <c:v>0.2777</c:v>
                </c:pt>
                <c:pt idx="1508">
                  <c:v>0.27329999999999999</c:v>
                </c:pt>
                <c:pt idx="1509">
                  <c:v>0.27710000000000001</c:v>
                </c:pt>
                <c:pt idx="1510">
                  <c:v>0.27189999999999998</c:v>
                </c:pt>
                <c:pt idx="1511">
                  <c:v>0.27189999999999998</c:v>
                </c:pt>
                <c:pt idx="1512">
                  <c:v>0.27200000000000002</c:v>
                </c:pt>
                <c:pt idx="1513">
                  <c:v>0.27200000000000002</c:v>
                </c:pt>
                <c:pt idx="1514">
                  <c:v>0.27450000000000002</c:v>
                </c:pt>
                <c:pt idx="1515">
                  <c:v>0.26879999999999998</c:v>
                </c:pt>
                <c:pt idx="1516">
                  <c:v>0.26979999999999998</c:v>
                </c:pt>
                <c:pt idx="1517">
                  <c:v>0.27200000000000002</c:v>
                </c:pt>
                <c:pt idx="1518">
                  <c:v>0.26989999999999997</c:v>
                </c:pt>
                <c:pt idx="1519">
                  <c:v>0.26860000000000001</c:v>
                </c:pt>
                <c:pt idx="1520">
                  <c:v>0.26040000000000002</c:v>
                </c:pt>
                <c:pt idx="1521">
                  <c:v>0.25090000000000001</c:v>
                </c:pt>
                <c:pt idx="1522">
                  <c:v>0.2581</c:v>
                </c:pt>
                <c:pt idx="1523">
                  <c:v>0.24959999999999999</c:v>
                </c:pt>
                <c:pt idx="1524">
                  <c:v>0.2301</c:v>
                </c:pt>
                <c:pt idx="1525">
                  <c:v>0.23400000000000001</c:v>
                </c:pt>
                <c:pt idx="1526">
                  <c:v>0.22559999999999999</c:v>
                </c:pt>
                <c:pt idx="1527">
                  <c:v>0.22509999999999999</c:v>
                </c:pt>
                <c:pt idx="1528">
                  <c:v>0.21890000000000001</c:v>
                </c:pt>
                <c:pt idx="1529">
                  <c:v>0.22270000000000001</c:v>
                </c:pt>
                <c:pt idx="1530">
                  <c:v>0.21990000000000001</c:v>
                </c:pt>
                <c:pt idx="1531">
                  <c:v>0.2137</c:v>
                </c:pt>
                <c:pt idx="1532">
                  <c:v>0.214</c:v>
                </c:pt>
                <c:pt idx="1533">
                  <c:v>0.20880000000000001</c:v>
                </c:pt>
                <c:pt idx="1534">
                  <c:v>0.20419999999999999</c:v>
                </c:pt>
                <c:pt idx="1535">
                  <c:v>0.20569999999999999</c:v>
                </c:pt>
                <c:pt idx="1536">
                  <c:v>0.20569999999999999</c:v>
                </c:pt>
                <c:pt idx="1537">
                  <c:v>0.2046</c:v>
                </c:pt>
                <c:pt idx="1538">
                  <c:v>0.20630000000000001</c:v>
                </c:pt>
                <c:pt idx="1539">
                  <c:v>0.21870000000000001</c:v>
                </c:pt>
                <c:pt idx="1540">
                  <c:v>0.2049</c:v>
                </c:pt>
                <c:pt idx="1541">
                  <c:v>0.2049</c:v>
                </c:pt>
                <c:pt idx="1542">
                  <c:v>0.20860000000000001</c:v>
                </c:pt>
                <c:pt idx="1543">
                  <c:v>0.20910000000000001</c:v>
                </c:pt>
                <c:pt idx="1544">
                  <c:v>0.2114</c:v>
                </c:pt>
                <c:pt idx="1545">
                  <c:v>0.21099999999999999</c:v>
                </c:pt>
                <c:pt idx="1546">
                  <c:v>0.2177</c:v>
                </c:pt>
                <c:pt idx="1547">
                  <c:v>0.216</c:v>
                </c:pt>
                <c:pt idx="1548">
                  <c:v>0.214</c:v>
                </c:pt>
                <c:pt idx="1549">
                  <c:v>0.21840000000000001</c:v>
                </c:pt>
                <c:pt idx="1550">
                  <c:v>0.21629999999999999</c:v>
                </c:pt>
                <c:pt idx="1551">
                  <c:v>0.21629999999999999</c:v>
                </c:pt>
                <c:pt idx="1552">
                  <c:v>0.22600000000000001</c:v>
                </c:pt>
                <c:pt idx="1553">
                  <c:v>0.22339999999999999</c:v>
                </c:pt>
                <c:pt idx="1554">
                  <c:v>0.23169999999999999</c:v>
                </c:pt>
                <c:pt idx="1555">
                  <c:v>0.2356</c:v>
                </c:pt>
                <c:pt idx="1556">
                  <c:v>0.23499999999999999</c:v>
                </c:pt>
                <c:pt idx="1557">
                  <c:v>0.23719999999999999</c:v>
                </c:pt>
                <c:pt idx="1558">
                  <c:v>0.2445</c:v>
                </c:pt>
                <c:pt idx="1559">
                  <c:v>0.23960000000000001</c:v>
                </c:pt>
                <c:pt idx="1560">
                  <c:v>0.2384</c:v>
                </c:pt>
                <c:pt idx="1561">
                  <c:v>0.23499999999999999</c:v>
                </c:pt>
                <c:pt idx="1562">
                  <c:v>0.24010000000000001</c:v>
                </c:pt>
                <c:pt idx="1563">
                  <c:v>0.24060000000000001</c:v>
                </c:pt>
                <c:pt idx="1564">
                  <c:v>0.23499999999999999</c:v>
                </c:pt>
                <c:pt idx="1565">
                  <c:v>0.23930000000000001</c:v>
                </c:pt>
                <c:pt idx="1566">
                  <c:v>0.2354</c:v>
                </c:pt>
                <c:pt idx="1567">
                  <c:v>0.2359</c:v>
                </c:pt>
                <c:pt idx="1568">
                  <c:v>0.23830000000000001</c:v>
                </c:pt>
                <c:pt idx="1569">
                  <c:v>0.23949999999999999</c:v>
                </c:pt>
                <c:pt idx="1570">
                  <c:v>0.2399</c:v>
                </c:pt>
                <c:pt idx="1571">
                  <c:v>0.2361</c:v>
                </c:pt>
                <c:pt idx="1572">
                  <c:v>0.23300000000000001</c:v>
                </c:pt>
                <c:pt idx="1573">
                  <c:v>0.23400000000000001</c:v>
                </c:pt>
                <c:pt idx="1574">
                  <c:v>0.2276</c:v>
                </c:pt>
                <c:pt idx="1575">
                  <c:v>0.23050000000000001</c:v>
                </c:pt>
                <c:pt idx="1576">
                  <c:v>0.23050000000000001</c:v>
                </c:pt>
                <c:pt idx="1577">
                  <c:v>0.22789999999999999</c:v>
                </c:pt>
                <c:pt idx="1578">
                  <c:v>0.22839999999999999</c:v>
                </c:pt>
                <c:pt idx="1579">
                  <c:v>0.2283</c:v>
                </c:pt>
                <c:pt idx="1580">
                  <c:v>0.22620000000000001</c:v>
                </c:pt>
                <c:pt idx="1581">
                  <c:v>0.23100000000000001</c:v>
                </c:pt>
                <c:pt idx="1582">
                  <c:v>0.23630000000000001</c:v>
                </c:pt>
                <c:pt idx="1583">
                  <c:v>0.2399</c:v>
                </c:pt>
                <c:pt idx="1584">
                  <c:v>0.22559999999999999</c:v>
                </c:pt>
                <c:pt idx="1585">
                  <c:v>0.21</c:v>
                </c:pt>
                <c:pt idx="1586">
                  <c:v>0.20580000000000001</c:v>
                </c:pt>
                <c:pt idx="1587">
                  <c:v>0.20860000000000001</c:v>
                </c:pt>
                <c:pt idx="1588">
                  <c:v>0.2145</c:v>
                </c:pt>
                <c:pt idx="1589">
                  <c:v>0.21299999999999999</c:v>
                </c:pt>
                <c:pt idx="1590">
                  <c:v>0.21179999999999999</c:v>
                </c:pt>
                <c:pt idx="1591">
                  <c:v>0.2195</c:v>
                </c:pt>
                <c:pt idx="1592">
                  <c:v>0.21890000000000001</c:v>
                </c:pt>
                <c:pt idx="1593">
                  <c:v>0.21929999999999999</c:v>
                </c:pt>
                <c:pt idx="1594">
                  <c:v>0.2177</c:v>
                </c:pt>
                <c:pt idx="1595">
                  <c:v>0.2213</c:v>
                </c:pt>
                <c:pt idx="1596">
                  <c:v>0.22159999999999999</c:v>
                </c:pt>
                <c:pt idx="1597">
                  <c:v>0.21640000000000001</c:v>
                </c:pt>
                <c:pt idx="1598">
                  <c:v>0.2177</c:v>
                </c:pt>
                <c:pt idx="1599">
                  <c:v>0.22059999999999999</c:v>
                </c:pt>
                <c:pt idx="1600">
                  <c:v>0.21859999999999999</c:v>
                </c:pt>
                <c:pt idx="1601">
                  <c:v>0.21970000000000001</c:v>
                </c:pt>
                <c:pt idx="1602">
                  <c:v>0.22389999999999999</c:v>
                </c:pt>
                <c:pt idx="1603">
                  <c:v>0.22170000000000001</c:v>
                </c:pt>
                <c:pt idx="1604">
                  <c:v>0.22509999999999999</c:v>
                </c:pt>
                <c:pt idx="1605">
                  <c:v>0.22509999999999999</c:v>
                </c:pt>
                <c:pt idx="1606">
                  <c:v>0.2263</c:v>
                </c:pt>
                <c:pt idx="1607">
                  <c:v>0.22320000000000001</c:v>
                </c:pt>
                <c:pt idx="1608">
                  <c:v>0.22220000000000001</c:v>
                </c:pt>
                <c:pt idx="1609">
                  <c:v>0.22359999999999999</c:v>
                </c:pt>
                <c:pt idx="1610">
                  <c:v>0.21940000000000001</c:v>
                </c:pt>
                <c:pt idx="1611">
                  <c:v>0.21590000000000001</c:v>
                </c:pt>
                <c:pt idx="1612">
                  <c:v>0.21490000000000001</c:v>
                </c:pt>
                <c:pt idx="1613">
                  <c:v>0.2142</c:v>
                </c:pt>
                <c:pt idx="1614">
                  <c:v>0.21460000000000001</c:v>
                </c:pt>
                <c:pt idx="1615">
                  <c:v>0.20849999999999999</c:v>
                </c:pt>
                <c:pt idx="1616">
                  <c:v>0.20449999999999999</c:v>
                </c:pt>
                <c:pt idx="1617">
                  <c:v>0.20019999999999999</c:v>
                </c:pt>
                <c:pt idx="1618">
                  <c:v>0.1963</c:v>
                </c:pt>
                <c:pt idx="1619">
                  <c:v>0.19320000000000001</c:v>
                </c:pt>
                <c:pt idx="1620">
                  <c:v>0.19589999999999999</c:v>
                </c:pt>
                <c:pt idx="1621">
                  <c:v>0.1973</c:v>
                </c:pt>
                <c:pt idx="1622">
                  <c:v>0.19800000000000001</c:v>
                </c:pt>
                <c:pt idx="1623">
                  <c:v>0.19869999999999999</c:v>
                </c:pt>
                <c:pt idx="1624">
                  <c:v>0.19869999999999999</c:v>
                </c:pt>
                <c:pt idx="1625">
                  <c:v>0.19420000000000001</c:v>
                </c:pt>
                <c:pt idx="1626">
                  <c:v>0.19409999999999999</c:v>
                </c:pt>
                <c:pt idx="1627">
                  <c:v>0.19719999999999999</c:v>
                </c:pt>
                <c:pt idx="1628">
                  <c:v>0.19220000000000001</c:v>
                </c:pt>
                <c:pt idx="1629">
                  <c:v>0.19259999999999999</c:v>
                </c:pt>
                <c:pt idx="1630">
                  <c:v>0.19320000000000001</c:v>
                </c:pt>
                <c:pt idx="1631">
                  <c:v>0.1948</c:v>
                </c:pt>
                <c:pt idx="1632">
                  <c:v>0.19950000000000001</c:v>
                </c:pt>
                <c:pt idx="1633">
                  <c:v>0.1963</c:v>
                </c:pt>
                <c:pt idx="1634">
                  <c:v>0.19550000000000001</c:v>
                </c:pt>
                <c:pt idx="1635">
                  <c:v>0.19259999999999999</c:v>
                </c:pt>
                <c:pt idx="1636">
                  <c:v>0.1862</c:v>
                </c:pt>
                <c:pt idx="1637">
                  <c:v>0.189</c:v>
                </c:pt>
                <c:pt idx="1638">
                  <c:v>0.18629999999999999</c:v>
                </c:pt>
                <c:pt idx="1639">
                  <c:v>0.18329999999999999</c:v>
                </c:pt>
                <c:pt idx="1640">
                  <c:v>0.18099999999999999</c:v>
                </c:pt>
                <c:pt idx="1641">
                  <c:v>0.1867</c:v>
                </c:pt>
                <c:pt idx="1642">
                  <c:v>0.1857</c:v>
                </c:pt>
                <c:pt idx="1643">
                  <c:v>0.18210000000000001</c:v>
                </c:pt>
                <c:pt idx="1644">
                  <c:v>0.18260000000000001</c:v>
                </c:pt>
                <c:pt idx="1645">
                  <c:v>0.1845</c:v>
                </c:pt>
                <c:pt idx="1646">
                  <c:v>0.1845</c:v>
                </c:pt>
                <c:pt idx="1647">
                  <c:v>0.187</c:v>
                </c:pt>
                <c:pt idx="1648">
                  <c:v>0.1832</c:v>
                </c:pt>
                <c:pt idx="1649">
                  <c:v>0.18160000000000001</c:v>
                </c:pt>
                <c:pt idx="1650">
                  <c:v>0.1832</c:v>
                </c:pt>
                <c:pt idx="1651">
                  <c:v>0.18770000000000001</c:v>
                </c:pt>
                <c:pt idx="1652">
                  <c:v>0.18859999999999999</c:v>
                </c:pt>
                <c:pt idx="1653">
                  <c:v>0.19139999999999999</c:v>
                </c:pt>
                <c:pt idx="1654">
                  <c:v>0.19220000000000001</c:v>
                </c:pt>
                <c:pt idx="1655">
                  <c:v>0.18959999999999999</c:v>
                </c:pt>
                <c:pt idx="1656">
                  <c:v>0.18609999999999999</c:v>
                </c:pt>
                <c:pt idx="1657">
                  <c:v>0.18740000000000001</c:v>
                </c:pt>
                <c:pt idx="1658">
                  <c:v>0.19089999999999999</c:v>
                </c:pt>
                <c:pt idx="1659">
                  <c:v>0.1953</c:v>
                </c:pt>
                <c:pt idx="1660">
                  <c:v>0.19350000000000001</c:v>
                </c:pt>
                <c:pt idx="1661">
                  <c:v>0.18959999999999999</c:v>
                </c:pt>
                <c:pt idx="1662">
                  <c:v>0.189</c:v>
                </c:pt>
                <c:pt idx="1663">
                  <c:v>0.189</c:v>
                </c:pt>
                <c:pt idx="1664">
                  <c:v>0.18920000000000001</c:v>
                </c:pt>
                <c:pt idx="1665">
                  <c:v>0.18990000000000001</c:v>
                </c:pt>
                <c:pt idx="1666">
                  <c:v>0.19420000000000001</c:v>
                </c:pt>
                <c:pt idx="1667">
                  <c:v>0.19170000000000001</c:v>
                </c:pt>
                <c:pt idx="1668">
                  <c:v>0.19259999999999999</c:v>
                </c:pt>
                <c:pt idx="1669">
                  <c:v>0.20150000000000001</c:v>
                </c:pt>
                <c:pt idx="1670">
                  <c:v>0.20330000000000001</c:v>
                </c:pt>
                <c:pt idx="1671">
                  <c:v>0.20169999999999999</c:v>
                </c:pt>
                <c:pt idx="1672">
                  <c:v>0.20619999999999999</c:v>
                </c:pt>
                <c:pt idx="1673">
                  <c:v>0.20519999999999999</c:v>
                </c:pt>
                <c:pt idx="1674">
                  <c:v>0.20519999999999999</c:v>
                </c:pt>
                <c:pt idx="1675">
                  <c:v>0.20080000000000001</c:v>
                </c:pt>
                <c:pt idx="1676">
                  <c:v>0.20219999999999999</c:v>
                </c:pt>
                <c:pt idx="1677">
                  <c:v>0.19650000000000001</c:v>
                </c:pt>
                <c:pt idx="1678">
                  <c:v>0.1978</c:v>
                </c:pt>
                <c:pt idx="1679">
                  <c:v>0.19420000000000001</c:v>
                </c:pt>
                <c:pt idx="1680">
                  <c:v>0.192</c:v>
                </c:pt>
                <c:pt idx="1681">
                  <c:v>0.19789999999999999</c:v>
                </c:pt>
                <c:pt idx="1682">
                  <c:v>0.1963</c:v>
                </c:pt>
                <c:pt idx="1683">
                  <c:v>0.19370000000000001</c:v>
                </c:pt>
                <c:pt idx="1684">
                  <c:v>0.19009999999999999</c:v>
                </c:pt>
                <c:pt idx="1685">
                  <c:v>0.1867</c:v>
                </c:pt>
                <c:pt idx="1686">
                  <c:v>0.1832</c:v>
                </c:pt>
                <c:pt idx="1687">
                  <c:v>0.18179999999999999</c:v>
                </c:pt>
                <c:pt idx="1688">
                  <c:v>0.17949999999999999</c:v>
                </c:pt>
                <c:pt idx="1689">
                  <c:v>0.18659999999999999</c:v>
                </c:pt>
                <c:pt idx="1690">
                  <c:v>0.18479999999999999</c:v>
                </c:pt>
                <c:pt idx="1691">
                  <c:v>0.19</c:v>
                </c:pt>
                <c:pt idx="1692">
                  <c:v>0.1913</c:v>
                </c:pt>
                <c:pt idx="1693">
                  <c:v>0.19020000000000001</c:v>
                </c:pt>
                <c:pt idx="1694">
                  <c:v>0.1857</c:v>
                </c:pt>
                <c:pt idx="1695">
                  <c:v>0.1817</c:v>
                </c:pt>
                <c:pt idx="1696">
                  <c:v>0.18029999999999999</c:v>
                </c:pt>
                <c:pt idx="1697">
                  <c:v>0.17849999999999999</c:v>
                </c:pt>
                <c:pt idx="1698">
                  <c:v>0.18079999999999999</c:v>
                </c:pt>
                <c:pt idx="1699">
                  <c:v>0.1852</c:v>
                </c:pt>
                <c:pt idx="1700">
                  <c:v>0.18540000000000001</c:v>
                </c:pt>
                <c:pt idx="1701">
                  <c:v>0.18340000000000001</c:v>
                </c:pt>
                <c:pt idx="1702">
                  <c:v>0.18360000000000001</c:v>
                </c:pt>
                <c:pt idx="1703">
                  <c:v>0.17979999999999999</c:v>
                </c:pt>
                <c:pt idx="1704">
                  <c:v>0.17829999999999999</c:v>
                </c:pt>
                <c:pt idx="1705">
                  <c:v>0.18099999999999999</c:v>
                </c:pt>
                <c:pt idx="1706">
                  <c:v>0.1802</c:v>
                </c:pt>
                <c:pt idx="1707">
                  <c:v>0.1757</c:v>
                </c:pt>
                <c:pt idx="1708">
                  <c:v>0.17730000000000001</c:v>
                </c:pt>
                <c:pt idx="1709">
                  <c:v>0.1782</c:v>
                </c:pt>
                <c:pt idx="1710">
                  <c:v>0.184</c:v>
                </c:pt>
                <c:pt idx="1711">
                  <c:v>0.1903</c:v>
                </c:pt>
                <c:pt idx="1712">
                  <c:v>0.19670000000000001</c:v>
                </c:pt>
                <c:pt idx="1713">
                  <c:v>0.19589999999999999</c:v>
                </c:pt>
                <c:pt idx="1714">
                  <c:v>0.19839999999999999</c:v>
                </c:pt>
                <c:pt idx="1715">
                  <c:v>0.19439999999999999</c:v>
                </c:pt>
                <c:pt idx="1716">
                  <c:v>0.19439999999999999</c:v>
                </c:pt>
                <c:pt idx="1717">
                  <c:v>0.19400000000000001</c:v>
                </c:pt>
                <c:pt idx="1718">
                  <c:v>0.19259999999999999</c:v>
                </c:pt>
                <c:pt idx="1719">
                  <c:v>0.19270000000000001</c:v>
                </c:pt>
                <c:pt idx="1720">
                  <c:v>0.189</c:v>
                </c:pt>
                <c:pt idx="1721">
                  <c:v>0.18820000000000001</c:v>
                </c:pt>
                <c:pt idx="1722">
                  <c:v>0.18429999999999999</c:v>
                </c:pt>
              </c:numCache>
            </c:numRef>
          </c:val>
          <c:smooth val="0"/>
          <c:extLst>
            <c:ext xmlns:c16="http://schemas.microsoft.com/office/drawing/2014/chart" uri="{C3380CC4-5D6E-409C-BE32-E72D297353CC}">
              <c16:uniqueId val="{00000000-D35E-4AAD-9943-61CA2E183176}"/>
            </c:ext>
          </c:extLst>
        </c:ser>
        <c:dLbls>
          <c:showLegendKey val="0"/>
          <c:showVal val="0"/>
          <c:showCatName val="0"/>
          <c:showSerName val="0"/>
          <c:showPercent val="0"/>
          <c:showBubbleSize val="0"/>
        </c:dLbls>
        <c:smooth val="0"/>
        <c:axId val="780059104"/>
        <c:axId val="780047872"/>
      </c:lineChart>
      <c:dateAx>
        <c:axId val="7800591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47872"/>
        <c:crosses val="autoZero"/>
        <c:auto val="1"/>
        <c:lblOffset val="100"/>
        <c:baseTimeUnit val="days"/>
      </c:dateAx>
      <c:valAx>
        <c:axId val="78004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5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'Sugar price'!$A$17:$A$1739</c:f>
              <c:numCache>
                <c:formatCode>m/d/yyyy</c:formatCode>
                <c:ptCount val="1723"/>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43439</c:v>
                </c:pt>
                <c:pt idx="235">
                  <c:v>43440</c:v>
                </c:pt>
                <c:pt idx="236">
                  <c:v>43441</c:v>
                </c:pt>
                <c:pt idx="237">
                  <c:v>43444</c:v>
                </c:pt>
                <c:pt idx="238">
                  <c:v>43445</c:v>
                </c:pt>
                <c:pt idx="239">
                  <c:v>43446</c:v>
                </c:pt>
                <c:pt idx="240">
                  <c:v>43447</c:v>
                </c:pt>
                <c:pt idx="241">
                  <c:v>43448</c:v>
                </c:pt>
                <c:pt idx="242">
                  <c:v>43451</c:v>
                </c:pt>
                <c:pt idx="243">
                  <c:v>43452</c:v>
                </c:pt>
                <c:pt idx="244">
                  <c:v>43453</c:v>
                </c:pt>
                <c:pt idx="245">
                  <c:v>43454</c:v>
                </c:pt>
                <c:pt idx="246">
                  <c:v>43455</c:v>
                </c:pt>
                <c:pt idx="247">
                  <c:v>43458</c:v>
                </c:pt>
                <c:pt idx="248">
                  <c:v>43460</c:v>
                </c:pt>
                <c:pt idx="249">
                  <c:v>43461</c:v>
                </c:pt>
                <c:pt idx="250">
                  <c:v>43462</c:v>
                </c:pt>
                <c:pt idx="251">
                  <c:v>43465</c:v>
                </c:pt>
                <c:pt idx="252">
                  <c:v>43467</c:v>
                </c:pt>
                <c:pt idx="253">
                  <c:v>43468</c:v>
                </c:pt>
                <c:pt idx="254">
                  <c:v>43469</c:v>
                </c:pt>
                <c:pt idx="255">
                  <c:v>43472</c:v>
                </c:pt>
                <c:pt idx="256">
                  <c:v>43473</c:v>
                </c:pt>
                <c:pt idx="257">
                  <c:v>43474</c:v>
                </c:pt>
                <c:pt idx="258">
                  <c:v>43475</c:v>
                </c:pt>
                <c:pt idx="259">
                  <c:v>43476</c:v>
                </c:pt>
                <c:pt idx="260">
                  <c:v>43479</c:v>
                </c:pt>
                <c:pt idx="261">
                  <c:v>43480</c:v>
                </c:pt>
                <c:pt idx="262">
                  <c:v>43481</c:v>
                </c:pt>
                <c:pt idx="263">
                  <c:v>43482</c:v>
                </c:pt>
                <c:pt idx="264">
                  <c:v>43483</c:v>
                </c:pt>
                <c:pt idx="265">
                  <c:v>43487</c:v>
                </c:pt>
                <c:pt idx="266">
                  <c:v>43488</c:v>
                </c:pt>
                <c:pt idx="267">
                  <c:v>43489</c:v>
                </c:pt>
                <c:pt idx="268">
                  <c:v>43490</c:v>
                </c:pt>
                <c:pt idx="269">
                  <c:v>43493</c:v>
                </c:pt>
                <c:pt idx="270">
                  <c:v>43494</c:v>
                </c:pt>
                <c:pt idx="271">
                  <c:v>43495</c:v>
                </c:pt>
                <c:pt idx="272">
                  <c:v>43496</c:v>
                </c:pt>
                <c:pt idx="273">
                  <c:v>43497</c:v>
                </c:pt>
                <c:pt idx="274">
                  <c:v>43500</c:v>
                </c:pt>
                <c:pt idx="275">
                  <c:v>43501</c:v>
                </c:pt>
                <c:pt idx="276">
                  <c:v>43502</c:v>
                </c:pt>
                <c:pt idx="277">
                  <c:v>43503</c:v>
                </c:pt>
                <c:pt idx="278">
                  <c:v>43504</c:v>
                </c:pt>
                <c:pt idx="279">
                  <c:v>43507</c:v>
                </c:pt>
                <c:pt idx="280">
                  <c:v>43508</c:v>
                </c:pt>
                <c:pt idx="281">
                  <c:v>43509</c:v>
                </c:pt>
                <c:pt idx="282">
                  <c:v>43510</c:v>
                </c:pt>
                <c:pt idx="283">
                  <c:v>43511</c:v>
                </c:pt>
                <c:pt idx="284">
                  <c:v>43515</c:v>
                </c:pt>
                <c:pt idx="285">
                  <c:v>43516</c:v>
                </c:pt>
                <c:pt idx="286">
                  <c:v>43517</c:v>
                </c:pt>
                <c:pt idx="287">
                  <c:v>43518</c:v>
                </c:pt>
                <c:pt idx="288">
                  <c:v>43521</c:v>
                </c:pt>
                <c:pt idx="289">
                  <c:v>43522</c:v>
                </c:pt>
                <c:pt idx="290">
                  <c:v>43523</c:v>
                </c:pt>
                <c:pt idx="291">
                  <c:v>43524</c:v>
                </c:pt>
                <c:pt idx="292">
                  <c:v>43525</c:v>
                </c:pt>
                <c:pt idx="293">
                  <c:v>43528</c:v>
                </c:pt>
                <c:pt idx="294">
                  <c:v>43529</c:v>
                </c:pt>
                <c:pt idx="295">
                  <c:v>43530</c:v>
                </c:pt>
                <c:pt idx="296">
                  <c:v>43531</c:v>
                </c:pt>
                <c:pt idx="297">
                  <c:v>43532</c:v>
                </c:pt>
                <c:pt idx="298">
                  <c:v>43535</c:v>
                </c:pt>
                <c:pt idx="299">
                  <c:v>43536</c:v>
                </c:pt>
                <c:pt idx="300">
                  <c:v>43537</c:v>
                </c:pt>
                <c:pt idx="301">
                  <c:v>43538</c:v>
                </c:pt>
                <c:pt idx="302">
                  <c:v>43539</c:v>
                </c:pt>
                <c:pt idx="303">
                  <c:v>43542</c:v>
                </c:pt>
                <c:pt idx="304">
                  <c:v>43543</c:v>
                </c:pt>
                <c:pt idx="305">
                  <c:v>43544</c:v>
                </c:pt>
                <c:pt idx="306">
                  <c:v>43545</c:v>
                </c:pt>
                <c:pt idx="307">
                  <c:v>43546</c:v>
                </c:pt>
                <c:pt idx="308">
                  <c:v>43549</c:v>
                </c:pt>
                <c:pt idx="309">
                  <c:v>43550</c:v>
                </c:pt>
                <c:pt idx="310">
                  <c:v>43551</c:v>
                </c:pt>
                <c:pt idx="311">
                  <c:v>43552</c:v>
                </c:pt>
                <c:pt idx="312">
                  <c:v>43553</c:v>
                </c:pt>
                <c:pt idx="313">
                  <c:v>43556</c:v>
                </c:pt>
                <c:pt idx="314">
                  <c:v>43557</c:v>
                </c:pt>
                <c:pt idx="315">
                  <c:v>43558</c:v>
                </c:pt>
                <c:pt idx="316">
                  <c:v>43559</c:v>
                </c:pt>
                <c:pt idx="317">
                  <c:v>43560</c:v>
                </c:pt>
                <c:pt idx="318">
                  <c:v>43563</c:v>
                </c:pt>
                <c:pt idx="319">
                  <c:v>43564</c:v>
                </c:pt>
                <c:pt idx="320">
                  <c:v>43565</c:v>
                </c:pt>
                <c:pt idx="321">
                  <c:v>43566</c:v>
                </c:pt>
                <c:pt idx="322">
                  <c:v>43567</c:v>
                </c:pt>
                <c:pt idx="323">
                  <c:v>43570</c:v>
                </c:pt>
                <c:pt idx="324">
                  <c:v>43571</c:v>
                </c:pt>
                <c:pt idx="325">
                  <c:v>43572</c:v>
                </c:pt>
                <c:pt idx="326">
                  <c:v>43573</c:v>
                </c:pt>
                <c:pt idx="327">
                  <c:v>43577</c:v>
                </c:pt>
                <c:pt idx="328">
                  <c:v>43578</c:v>
                </c:pt>
                <c:pt idx="329">
                  <c:v>43579</c:v>
                </c:pt>
                <c:pt idx="330">
                  <c:v>43580</c:v>
                </c:pt>
                <c:pt idx="331">
                  <c:v>43581</c:v>
                </c:pt>
                <c:pt idx="332">
                  <c:v>43584</c:v>
                </c:pt>
                <c:pt idx="333">
                  <c:v>43585</c:v>
                </c:pt>
                <c:pt idx="334">
                  <c:v>43586</c:v>
                </c:pt>
                <c:pt idx="335">
                  <c:v>43587</c:v>
                </c:pt>
                <c:pt idx="336">
                  <c:v>43588</c:v>
                </c:pt>
                <c:pt idx="337">
                  <c:v>43591</c:v>
                </c:pt>
                <c:pt idx="338">
                  <c:v>43592</c:v>
                </c:pt>
                <c:pt idx="339">
                  <c:v>43593</c:v>
                </c:pt>
                <c:pt idx="340">
                  <c:v>43594</c:v>
                </c:pt>
                <c:pt idx="341">
                  <c:v>43595</c:v>
                </c:pt>
                <c:pt idx="342">
                  <c:v>43598</c:v>
                </c:pt>
                <c:pt idx="343">
                  <c:v>43599</c:v>
                </c:pt>
                <c:pt idx="344">
                  <c:v>43600</c:v>
                </c:pt>
                <c:pt idx="345">
                  <c:v>43601</c:v>
                </c:pt>
                <c:pt idx="346">
                  <c:v>43602</c:v>
                </c:pt>
                <c:pt idx="347">
                  <c:v>43605</c:v>
                </c:pt>
                <c:pt idx="348">
                  <c:v>43606</c:v>
                </c:pt>
                <c:pt idx="349">
                  <c:v>43607</c:v>
                </c:pt>
                <c:pt idx="350">
                  <c:v>43608</c:v>
                </c:pt>
                <c:pt idx="351">
                  <c:v>43609</c:v>
                </c:pt>
                <c:pt idx="352">
                  <c:v>43612</c:v>
                </c:pt>
                <c:pt idx="353">
                  <c:v>43613</c:v>
                </c:pt>
                <c:pt idx="354">
                  <c:v>43614</c:v>
                </c:pt>
                <c:pt idx="355">
                  <c:v>43615</c:v>
                </c:pt>
                <c:pt idx="356">
                  <c:v>43616</c:v>
                </c:pt>
                <c:pt idx="357">
                  <c:v>43619</c:v>
                </c:pt>
                <c:pt idx="358">
                  <c:v>43620</c:v>
                </c:pt>
                <c:pt idx="359">
                  <c:v>43621</c:v>
                </c:pt>
                <c:pt idx="360">
                  <c:v>43622</c:v>
                </c:pt>
                <c:pt idx="361">
                  <c:v>43623</c:v>
                </c:pt>
                <c:pt idx="362">
                  <c:v>43626</c:v>
                </c:pt>
                <c:pt idx="363">
                  <c:v>43627</c:v>
                </c:pt>
                <c:pt idx="364">
                  <c:v>43628</c:v>
                </c:pt>
                <c:pt idx="365">
                  <c:v>43629</c:v>
                </c:pt>
                <c:pt idx="366">
                  <c:v>43630</c:v>
                </c:pt>
                <c:pt idx="367">
                  <c:v>43633</c:v>
                </c:pt>
                <c:pt idx="368">
                  <c:v>43634</c:v>
                </c:pt>
                <c:pt idx="369">
                  <c:v>43635</c:v>
                </c:pt>
                <c:pt idx="370">
                  <c:v>43636</c:v>
                </c:pt>
                <c:pt idx="371">
                  <c:v>43637</c:v>
                </c:pt>
                <c:pt idx="372">
                  <c:v>43640</c:v>
                </c:pt>
                <c:pt idx="373">
                  <c:v>43641</c:v>
                </c:pt>
                <c:pt idx="374">
                  <c:v>43642</c:v>
                </c:pt>
                <c:pt idx="375">
                  <c:v>43643</c:v>
                </c:pt>
                <c:pt idx="376">
                  <c:v>43644</c:v>
                </c:pt>
                <c:pt idx="377">
                  <c:v>43647</c:v>
                </c:pt>
                <c:pt idx="378">
                  <c:v>43648</c:v>
                </c:pt>
                <c:pt idx="379">
                  <c:v>43649</c:v>
                </c:pt>
                <c:pt idx="380">
                  <c:v>43650</c:v>
                </c:pt>
                <c:pt idx="381">
                  <c:v>43651</c:v>
                </c:pt>
                <c:pt idx="382">
                  <c:v>43654</c:v>
                </c:pt>
                <c:pt idx="383">
                  <c:v>43655</c:v>
                </c:pt>
                <c:pt idx="384">
                  <c:v>43656</c:v>
                </c:pt>
                <c:pt idx="385">
                  <c:v>43657</c:v>
                </c:pt>
                <c:pt idx="386">
                  <c:v>43658</c:v>
                </c:pt>
                <c:pt idx="387">
                  <c:v>43661</c:v>
                </c:pt>
                <c:pt idx="388">
                  <c:v>43662</c:v>
                </c:pt>
                <c:pt idx="389">
                  <c:v>43663</c:v>
                </c:pt>
                <c:pt idx="390">
                  <c:v>43664</c:v>
                </c:pt>
                <c:pt idx="391">
                  <c:v>43665</c:v>
                </c:pt>
                <c:pt idx="392">
                  <c:v>43668</c:v>
                </c:pt>
                <c:pt idx="393">
                  <c:v>43669</c:v>
                </c:pt>
                <c:pt idx="394">
                  <c:v>43670</c:v>
                </c:pt>
                <c:pt idx="395">
                  <c:v>43671</c:v>
                </c:pt>
                <c:pt idx="396">
                  <c:v>43672</c:v>
                </c:pt>
                <c:pt idx="397">
                  <c:v>43675</c:v>
                </c:pt>
                <c:pt idx="398">
                  <c:v>43676</c:v>
                </c:pt>
                <c:pt idx="399">
                  <c:v>43677</c:v>
                </c:pt>
                <c:pt idx="400">
                  <c:v>43678</c:v>
                </c:pt>
                <c:pt idx="401">
                  <c:v>43679</c:v>
                </c:pt>
                <c:pt idx="402">
                  <c:v>43682</c:v>
                </c:pt>
                <c:pt idx="403">
                  <c:v>43683</c:v>
                </c:pt>
                <c:pt idx="404">
                  <c:v>43684</c:v>
                </c:pt>
                <c:pt idx="405">
                  <c:v>43685</c:v>
                </c:pt>
                <c:pt idx="406">
                  <c:v>43686</c:v>
                </c:pt>
                <c:pt idx="407">
                  <c:v>43689</c:v>
                </c:pt>
                <c:pt idx="408">
                  <c:v>43690</c:v>
                </c:pt>
                <c:pt idx="409">
                  <c:v>43691</c:v>
                </c:pt>
                <c:pt idx="410">
                  <c:v>43692</c:v>
                </c:pt>
                <c:pt idx="411">
                  <c:v>43693</c:v>
                </c:pt>
                <c:pt idx="412">
                  <c:v>43696</c:v>
                </c:pt>
                <c:pt idx="413">
                  <c:v>43697</c:v>
                </c:pt>
                <c:pt idx="414">
                  <c:v>43698</c:v>
                </c:pt>
                <c:pt idx="415">
                  <c:v>43699</c:v>
                </c:pt>
                <c:pt idx="416">
                  <c:v>43700</c:v>
                </c:pt>
                <c:pt idx="417">
                  <c:v>43703</c:v>
                </c:pt>
                <c:pt idx="418">
                  <c:v>43704</c:v>
                </c:pt>
                <c:pt idx="419">
                  <c:v>43705</c:v>
                </c:pt>
                <c:pt idx="420">
                  <c:v>43706</c:v>
                </c:pt>
                <c:pt idx="421">
                  <c:v>43707</c:v>
                </c:pt>
                <c:pt idx="422">
                  <c:v>43710</c:v>
                </c:pt>
                <c:pt idx="423">
                  <c:v>43711</c:v>
                </c:pt>
                <c:pt idx="424">
                  <c:v>43712</c:v>
                </c:pt>
                <c:pt idx="425">
                  <c:v>43713</c:v>
                </c:pt>
                <c:pt idx="426">
                  <c:v>43714</c:v>
                </c:pt>
                <c:pt idx="427">
                  <c:v>43717</c:v>
                </c:pt>
                <c:pt idx="428">
                  <c:v>43718</c:v>
                </c:pt>
                <c:pt idx="429">
                  <c:v>43719</c:v>
                </c:pt>
                <c:pt idx="430">
                  <c:v>43720</c:v>
                </c:pt>
                <c:pt idx="431">
                  <c:v>43721</c:v>
                </c:pt>
                <c:pt idx="432">
                  <c:v>43724</c:v>
                </c:pt>
                <c:pt idx="433">
                  <c:v>43725</c:v>
                </c:pt>
                <c:pt idx="434">
                  <c:v>43726</c:v>
                </c:pt>
                <c:pt idx="435">
                  <c:v>43727</c:v>
                </c:pt>
                <c:pt idx="436">
                  <c:v>43728</c:v>
                </c:pt>
                <c:pt idx="437">
                  <c:v>43731</c:v>
                </c:pt>
                <c:pt idx="438">
                  <c:v>43732</c:v>
                </c:pt>
                <c:pt idx="439">
                  <c:v>43733</c:v>
                </c:pt>
                <c:pt idx="440">
                  <c:v>43734</c:v>
                </c:pt>
                <c:pt idx="441">
                  <c:v>43735</c:v>
                </c:pt>
                <c:pt idx="442">
                  <c:v>43738</c:v>
                </c:pt>
                <c:pt idx="443">
                  <c:v>43739</c:v>
                </c:pt>
                <c:pt idx="444">
                  <c:v>43740</c:v>
                </c:pt>
                <c:pt idx="445">
                  <c:v>43741</c:v>
                </c:pt>
                <c:pt idx="446">
                  <c:v>43742</c:v>
                </c:pt>
                <c:pt idx="447">
                  <c:v>43745</c:v>
                </c:pt>
                <c:pt idx="448">
                  <c:v>43746</c:v>
                </c:pt>
                <c:pt idx="449">
                  <c:v>43747</c:v>
                </c:pt>
                <c:pt idx="450">
                  <c:v>43748</c:v>
                </c:pt>
                <c:pt idx="451">
                  <c:v>43749</c:v>
                </c:pt>
                <c:pt idx="452">
                  <c:v>43752</c:v>
                </c:pt>
                <c:pt idx="453">
                  <c:v>43753</c:v>
                </c:pt>
                <c:pt idx="454">
                  <c:v>43754</c:v>
                </c:pt>
                <c:pt idx="455">
                  <c:v>43755</c:v>
                </c:pt>
                <c:pt idx="456">
                  <c:v>43756</c:v>
                </c:pt>
                <c:pt idx="457">
                  <c:v>43759</c:v>
                </c:pt>
                <c:pt idx="458">
                  <c:v>43760</c:v>
                </c:pt>
                <c:pt idx="459">
                  <c:v>43761</c:v>
                </c:pt>
                <c:pt idx="460">
                  <c:v>43762</c:v>
                </c:pt>
                <c:pt idx="461">
                  <c:v>43763</c:v>
                </c:pt>
                <c:pt idx="462">
                  <c:v>43766</c:v>
                </c:pt>
                <c:pt idx="463">
                  <c:v>43767</c:v>
                </c:pt>
                <c:pt idx="464">
                  <c:v>43768</c:v>
                </c:pt>
                <c:pt idx="465">
                  <c:v>43769</c:v>
                </c:pt>
                <c:pt idx="466">
                  <c:v>43770</c:v>
                </c:pt>
                <c:pt idx="467">
                  <c:v>43773</c:v>
                </c:pt>
                <c:pt idx="468">
                  <c:v>43774</c:v>
                </c:pt>
                <c:pt idx="469">
                  <c:v>43775</c:v>
                </c:pt>
                <c:pt idx="470">
                  <c:v>43776</c:v>
                </c:pt>
                <c:pt idx="471">
                  <c:v>43777</c:v>
                </c:pt>
                <c:pt idx="472">
                  <c:v>43780</c:v>
                </c:pt>
                <c:pt idx="473">
                  <c:v>43781</c:v>
                </c:pt>
                <c:pt idx="474">
                  <c:v>43782</c:v>
                </c:pt>
                <c:pt idx="475">
                  <c:v>43783</c:v>
                </c:pt>
                <c:pt idx="476">
                  <c:v>43784</c:v>
                </c:pt>
                <c:pt idx="477">
                  <c:v>43787</c:v>
                </c:pt>
                <c:pt idx="478">
                  <c:v>43788</c:v>
                </c:pt>
                <c:pt idx="479">
                  <c:v>43789</c:v>
                </c:pt>
                <c:pt idx="480">
                  <c:v>43790</c:v>
                </c:pt>
                <c:pt idx="481">
                  <c:v>43791</c:v>
                </c:pt>
                <c:pt idx="482">
                  <c:v>43794</c:v>
                </c:pt>
                <c:pt idx="483">
                  <c:v>43795</c:v>
                </c:pt>
                <c:pt idx="484">
                  <c:v>43796</c:v>
                </c:pt>
                <c:pt idx="485">
                  <c:v>43797</c:v>
                </c:pt>
                <c:pt idx="486">
                  <c:v>43798</c:v>
                </c:pt>
                <c:pt idx="487">
                  <c:v>43801</c:v>
                </c:pt>
                <c:pt idx="488">
                  <c:v>43802</c:v>
                </c:pt>
                <c:pt idx="489">
                  <c:v>43803</c:v>
                </c:pt>
                <c:pt idx="490">
                  <c:v>43804</c:v>
                </c:pt>
                <c:pt idx="491">
                  <c:v>43805</c:v>
                </c:pt>
                <c:pt idx="492">
                  <c:v>43808</c:v>
                </c:pt>
                <c:pt idx="493">
                  <c:v>43809</c:v>
                </c:pt>
                <c:pt idx="494">
                  <c:v>43810</c:v>
                </c:pt>
                <c:pt idx="495">
                  <c:v>43811</c:v>
                </c:pt>
                <c:pt idx="496">
                  <c:v>43812</c:v>
                </c:pt>
                <c:pt idx="497">
                  <c:v>43815</c:v>
                </c:pt>
                <c:pt idx="498">
                  <c:v>43816</c:v>
                </c:pt>
                <c:pt idx="499">
                  <c:v>43817</c:v>
                </c:pt>
                <c:pt idx="500">
                  <c:v>43818</c:v>
                </c:pt>
                <c:pt idx="501">
                  <c:v>43819</c:v>
                </c:pt>
                <c:pt idx="502">
                  <c:v>43822</c:v>
                </c:pt>
                <c:pt idx="503">
                  <c:v>43823</c:v>
                </c:pt>
                <c:pt idx="504">
                  <c:v>43825</c:v>
                </c:pt>
                <c:pt idx="505">
                  <c:v>43826</c:v>
                </c:pt>
                <c:pt idx="506">
                  <c:v>43829</c:v>
                </c:pt>
                <c:pt idx="507">
                  <c:v>43830</c:v>
                </c:pt>
                <c:pt idx="508">
                  <c:v>43832</c:v>
                </c:pt>
                <c:pt idx="509">
                  <c:v>43833</c:v>
                </c:pt>
                <c:pt idx="510">
                  <c:v>43836</c:v>
                </c:pt>
                <c:pt idx="511">
                  <c:v>43837</c:v>
                </c:pt>
                <c:pt idx="512">
                  <c:v>43838</c:v>
                </c:pt>
                <c:pt idx="513">
                  <c:v>43839</c:v>
                </c:pt>
                <c:pt idx="514">
                  <c:v>43840</c:v>
                </c:pt>
                <c:pt idx="515">
                  <c:v>43843</c:v>
                </c:pt>
                <c:pt idx="516">
                  <c:v>43844</c:v>
                </c:pt>
                <c:pt idx="517">
                  <c:v>43845</c:v>
                </c:pt>
                <c:pt idx="518">
                  <c:v>43846</c:v>
                </c:pt>
                <c:pt idx="519">
                  <c:v>43847</c:v>
                </c:pt>
                <c:pt idx="520">
                  <c:v>43850</c:v>
                </c:pt>
                <c:pt idx="521">
                  <c:v>43851</c:v>
                </c:pt>
                <c:pt idx="522">
                  <c:v>43852</c:v>
                </c:pt>
                <c:pt idx="523">
                  <c:v>43853</c:v>
                </c:pt>
                <c:pt idx="524">
                  <c:v>43854</c:v>
                </c:pt>
                <c:pt idx="525">
                  <c:v>43857</c:v>
                </c:pt>
                <c:pt idx="526">
                  <c:v>43858</c:v>
                </c:pt>
                <c:pt idx="527">
                  <c:v>43859</c:v>
                </c:pt>
                <c:pt idx="528">
                  <c:v>43860</c:v>
                </c:pt>
                <c:pt idx="529">
                  <c:v>43861</c:v>
                </c:pt>
                <c:pt idx="530">
                  <c:v>43864</c:v>
                </c:pt>
                <c:pt idx="531">
                  <c:v>43865</c:v>
                </c:pt>
                <c:pt idx="532">
                  <c:v>43866</c:v>
                </c:pt>
                <c:pt idx="533">
                  <c:v>43867</c:v>
                </c:pt>
                <c:pt idx="534">
                  <c:v>43868</c:v>
                </c:pt>
                <c:pt idx="535">
                  <c:v>43871</c:v>
                </c:pt>
                <c:pt idx="536">
                  <c:v>43872</c:v>
                </c:pt>
                <c:pt idx="537">
                  <c:v>43873</c:v>
                </c:pt>
                <c:pt idx="538">
                  <c:v>43874</c:v>
                </c:pt>
                <c:pt idx="539">
                  <c:v>43875</c:v>
                </c:pt>
                <c:pt idx="540">
                  <c:v>43878</c:v>
                </c:pt>
                <c:pt idx="541">
                  <c:v>43879</c:v>
                </c:pt>
                <c:pt idx="542">
                  <c:v>43880</c:v>
                </c:pt>
                <c:pt idx="543">
                  <c:v>43881</c:v>
                </c:pt>
                <c:pt idx="544">
                  <c:v>43882</c:v>
                </c:pt>
                <c:pt idx="545">
                  <c:v>43885</c:v>
                </c:pt>
                <c:pt idx="546">
                  <c:v>43886</c:v>
                </c:pt>
                <c:pt idx="547">
                  <c:v>43887</c:v>
                </c:pt>
                <c:pt idx="548">
                  <c:v>43888</c:v>
                </c:pt>
                <c:pt idx="549">
                  <c:v>43889</c:v>
                </c:pt>
                <c:pt idx="550">
                  <c:v>43892</c:v>
                </c:pt>
                <c:pt idx="551">
                  <c:v>43893</c:v>
                </c:pt>
                <c:pt idx="552">
                  <c:v>43894</c:v>
                </c:pt>
                <c:pt idx="553">
                  <c:v>43895</c:v>
                </c:pt>
                <c:pt idx="554">
                  <c:v>43896</c:v>
                </c:pt>
                <c:pt idx="555">
                  <c:v>43899</c:v>
                </c:pt>
                <c:pt idx="556">
                  <c:v>43900</c:v>
                </c:pt>
                <c:pt idx="557">
                  <c:v>43901</c:v>
                </c:pt>
                <c:pt idx="558">
                  <c:v>43902</c:v>
                </c:pt>
                <c:pt idx="559">
                  <c:v>43903</c:v>
                </c:pt>
                <c:pt idx="560">
                  <c:v>43906</c:v>
                </c:pt>
                <c:pt idx="561">
                  <c:v>43907</c:v>
                </c:pt>
                <c:pt idx="562">
                  <c:v>43908</c:v>
                </c:pt>
                <c:pt idx="563">
                  <c:v>43909</c:v>
                </c:pt>
                <c:pt idx="564">
                  <c:v>43910</c:v>
                </c:pt>
                <c:pt idx="565">
                  <c:v>43913</c:v>
                </c:pt>
                <c:pt idx="566">
                  <c:v>43914</c:v>
                </c:pt>
                <c:pt idx="567">
                  <c:v>43915</c:v>
                </c:pt>
                <c:pt idx="568">
                  <c:v>43916</c:v>
                </c:pt>
                <c:pt idx="569">
                  <c:v>43917</c:v>
                </c:pt>
                <c:pt idx="570">
                  <c:v>43920</c:v>
                </c:pt>
                <c:pt idx="571">
                  <c:v>43921</c:v>
                </c:pt>
                <c:pt idx="572">
                  <c:v>43922</c:v>
                </c:pt>
                <c:pt idx="573">
                  <c:v>43923</c:v>
                </c:pt>
                <c:pt idx="574">
                  <c:v>43924</c:v>
                </c:pt>
                <c:pt idx="575">
                  <c:v>43927</c:v>
                </c:pt>
                <c:pt idx="576">
                  <c:v>43928</c:v>
                </c:pt>
                <c:pt idx="577">
                  <c:v>43929</c:v>
                </c:pt>
                <c:pt idx="578">
                  <c:v>43930</c:v>
                </c:pt>
                <c:pt idx="579">
                  <c:v>43934</c:v>
                </c:pt>
                <c:pt idx="580">
                  <c:v>43935</c:v>
                </c:pt>
                <c:pt idx="581">
                  <c:v>43936</c:v>
                </c:pt>
                <c:pt idx="582">
                  <c:v>43937</c:v>
                </c:pt>
                <c:pt idx="583">
                  <c:v>43938</c:v>
                </c:pt>
                <c:pt idx="584">
                  <c:v>43941</c:v>
                </c:pt>
                <c:pt idx="585">
                  <c:v>43942</c:v>
                </c:pt>
                <c:pt idx="586">
                  <c:v>43943</c:v>
                </c:pt>
                <c:pt idx="587">
                  <c:v>43944</c:v>
                </c:pt>
                <c:pt idx="588">
                  <c:v>43945</c:v>
                </c:pt>
                <c:pt idx="589">
                  <c:v>43948</c:v>
                </c:pt>
                <c:pt idx="590">
                  <c:v>43949</c:v>
                </c:pt>
                <c:pt idx="591">
                  <c:v>43950</c:v>
                </c:pt>
                <c:pt idx="592">
                  <c:v>43951</c:v>
                </c:pt>
                <c:pt idx="593">
                  <c:v>43952</c:v>
                </c:pt>
                <c:pt idx="594">
                  <c:v>43955</c:v>
                </c:pt>
                <c:pt idx="595">
                  <c:v>43956</c:v>
                </c:pt>
                <c:pt idx="596">
                  <c:v>43957</c:v>
                </c:pt>
                <c:pt idx="597">
                  <c:v>43958</c:v>
                </c:pt>
                <c:pt idx="598">
                  <c:v>43959</c:v>
                </c:pt>
                <c:pt idx="599">
                  <c:v>43962</c:v>
                </c:pt>
                <c:pt idx="600">
                  <c:v>43963</c:v>
                </c:pt>
                <c:pt idx="601">
                  <c:v>43964</c:v>
                </c:pt>
                <c:pt idx="602">
                  <c:v>43965</c:v>
                </c:pt>
                <c:pt idx="603">
                  <c:v>43966</c:v>
                </c:pt>
                <c:pt idx="604">
                  <c:v>43969</c:v>
                </c:pt>
                <c:pt idx="605">
                  <c:v>43970</c:v>
                </c:pt>
                <c:pt idx="606">
                  <c:v>43971</c:v>
                </c:pt>
                <c:pt idx="607">
                  <c:v>43972</c:v>
                </c:pt>
                <c:pt idx="608">
                  <c:v>43973</c:v>
                </c:pt>
                <c:pt idx="609">
                  <c:v>43976</c:v>
                </c:pt>
                <c:pt idx="610">
                  <c:v>43977</c:v>
                </c:pt>
                <c:pt idx="611">
                  <c:v>43978</c:v>
                </c:pt>
                <c:pt idx="612">
                  <c:v>43979</c:v>
                </c:pt>
                <c:pt idx="613">
                  <c:v>43980</c:v>
                </c:pt>
                <c:pt idx="614">
                  <c:v>43983</c:v>
                </c:pt>
                <c:pt idx="615">
                  <c:v>43984</c:v>
                </c:pt>
                <c:pt idx="616">
                  <c:v>43985</c:v>
                </c:pt>
                <c:pt idx="617">
                  <c:v>43986</c:v>
                </c:pt>
                <c:pt idx="618">
                  <c:v>43987</c:v>
                </c:pt>
                <c:pt idx="619">
                  <c:v>43990</c:v>
                </c:pt>
                <c:pt idx="620">
                  <c:v>43991</c:v>
                </c:pt>
                <c:pt idx="621">
                  <c:v>43992</c:v>
                </c:pt>
                <c:pt idx="622">
                  <c:v>43993</c:v>
                </c:pt>
                <c:pt idx="623">
                  <c:v>43994</c:v>
                </c:pt>
                <c:pt idx="624">
                  <c:v>43997</c:v>
                </c:pt>
                <c:pt idx="625">
                  <c:v>43998</c:v>
                </c:pt>
                <c:pt idx="626">
                  <c:v>43999</c:v>
                </c:pt>
                <c:pt idx="627">
                  <c:v>44000</c:v>
                </c:pt>
                <c:pt idx="628">
                  <c:v>44001</c:v>
                </c:pt>
                <c:pt idx="629">
                  <c:v>44004</c:v>
                </c:pt>
                <c:pt idx="630">
                  <c:v>44005</c:v>
                </c:pt>
                <c:pt idx="631">
                  <c:v>44006</c:v>
                </c:pt>
                <c:pt idx="632">
                  <c:v>44007</c:v>
                </c:pt>
                <c:pt idx="633">
                  <c:v>44008</c:v>
                </c:pt>
                <c:pt idx="634">
                  <c:v>44011</c:v>
                </c:pt>
                <c:pt idx="635">
                  <c:v>44012</c:v>
                </c:pt>
                <c:pt idx="636">
                  <c:v>44013</c:v>
                </c:pt>
                <c:pt idx="637">
                  <c:v>44014</c:v>
                </c:pt>
                <c:pt idx="638">
                  <c:v>44018</c:v>
                </c:pt>
                <c:pt idx="639">
                  <c:v>44019</c:v>
                </c:pt>
                <c:pt idx="640">
                  <c:v>44020</c:v>
                </c:pt>
                <c:pt idx="641">
                  <c:v>44021</c:v>
                </c:pt>
                <c:pt idx="642">
                  <c:v>44022</c:v>
                </c:pt>
                <c:pt idx="643">
                  <c:v>44025</c:v>
                </c:pt>
                <c:pt idx="644">
                  <c:v>44026</c:v>
                </c:pt>
                <c:pt idx="645">
                  <c:v>44027</c:v>
                </c:pt>
                <c:pt idx="646">
                  <c:v>44028</c:v>
                </c:pt>
                <c:pt idx="647">
                  <c:v>44029</c:v>
                </c:pt>
                <c:pt idx="648">
                  <c:v>44032</c:v>
                </c:pt>
                <c:pt idx="649">
                  <c:v>44033</c:v>
                </c:pt>
                <c:pt idx="650">
                  <c:v>44034</c:v>
                </c:pt>
                <c:pt idx="651">
                  <c:v>44035</c:v>
                </c:pt>
                <c:pt idx="652">
                  <c:v>44036</c:v>
                </c:pt>
                <c:pt idx="653">
                  <c:v>44039</c:v>
                </c:pt>
                <c:pt idx="654">
                  <c:v>44040</c:v>
                </c:pt>
                <c:pt idx="655">
                  <c:v>44041</c:v>
                </c:pt>
                <c:pt idx="656">
                  <c:v>44042</c:v>
                </c:pt>
                <c:pt idx="657">
                  <c:v>44043</c:v>
                </c:pt>
                <c:pt idx="658">
                  <c:v>44046</c:v>
                </c:pt>
                <c:pt idx="659">
                  <c:v>44047</c:v>
                </c:pt>
                <c:pt idx="660">
                  <c:v>44048</c:v>
                </c:pt>
                <c:pt idx="661">
                  <c:v>44049</c:v>
                </c:pt>
                <c:pt idx="662">
                  <c:v>44050</c:v>
                </c:pt>
                <c:pt idx="663">
                  <c:v>44053</c:v>
                </c:pt>
                <c:pt idx="664">
                  <c:v>44054</c:v>
                </c:pt>
                <c:pt idx="665">
                  <c:v>44055</c:v>
                </c:pt>
                <c:pt idx="666">
                  <c:v>44056</c:v>
                </c:pt>
                <c:pt idx="667">
                  <c:v>44057</c:v>
                </c:pt>
                <c:pt idx="668">
                  <c:v>44060</c:v>
                </c:pt>
                <c:pt idx="669">
                  <c:v>44061</c:v>
                </c:pt>
                <c:pt idx="670">
                  <c:v>44062</c:v>
                </c:pt>
                <c:pt idx="671">
                  <c:v>44063</c:v>
                </c:pt>
                <c:pt idx="672">
                  <c:v>44064</c:v>
                </c:pt>
                <c:pt idx="673">
                  <c:v>44067</c:v>
                </c:pt>
                <c:pt idx="674">
                  <c:v>44068</c:v>
                </c:pt>
                <c:pt idx="675">
                  <c:v>44069</c:v>
                </c:pt>
                <c:pt idx="676">
                  <c:v>44070</c:v>
                </c:pt>
                <c:pt idx="677">
                  <c:v>44071</c:v>
                </c:pt>
                <c:pt idx="678">
                  <c:v>44074</c:v>
                </c:pt>
                <c:pt idx="679">
                  <c:v>44075</c:v>
                </c:pt>
                <c:pt idx="680">
                  <c:v>44076</c:v>
                </c:pt>
                <c:pt idx="681">
                  <c:v>44077</c:v>
                </c:pt>
                <c:pt idx="682">
                  <c:v>44078</c:v>
                </c:pt>
                <c:pt idx="683">
                  <c:v>44081</c:v>
                </c:pt>
                <c:pt idx="684">
                  <c:v>44082</c:v>
                </c:pt>
                <c:pt idx="685">
                  <c:v>44083</c:v>
                </c:pt>
                <c:pt idx="686">
                  <c:v>44084</c:v>
                </c:pt>
                <c:pt idx="687">
                  <c:v>44085</c:v>
                </c:pt>
                <c:pt idx="688">
                  <c:v>44088</c:v>
                </c:pt>
                <c:pt idx="689">
                  <c:v>44089</c:v>
                </c:pt>
                <c:pt idx="690">
                  <c:v>44090</c:v>
                </c:pt>
                <c:pt idx="691">
                  <c:v>44091</c:v>
                </c:pt>
                <c:pt idx="692">
                  <c:v>44092</c:v>
                </c:pt>
                <c:pt idx="693">
                  <c:v>44095</c:v>
                </c:pt>
                <c:pt idx="694">
                  <c:v>44096</c:v>
                </c:pt>
                <c:pt idx="695">
                  <c:v>44097</c:v>
                </c:pt>
                <c:pt idx="696">
                  <c:v>44098</c:v>
                </c:pt>
                <c:pt idx="697">
                  <c:v>44099</c:v>
                </c:pt>
                <c:pt idx="698">
                  <c:v>44102</c:v>
                </c:pt>
                <c:pt idx="699">
                  <c:v>44103</c:v>
                </c:pt>
                <c:pt idx="700">
                  <c:v>44104</c:v>
                </c:pt>
                <c:pt idx="701">
                  <c:v>44105</c:v>
                </c:pt>
                <c:pt idx="702">
                  <c:v>44106</c:v>
                </c:pt>
                <c:pt idx="703">
                  <c:v>44109</c:v>
                </c:pt>
                <c:pt idx="704">
                  <c:v>44110</c:v>
                </c:pt>
                <c:pt idx="705">
                  <c:v>44111</c:v>
                </c:pt>
                <c:pt idx="706">
                  <c:v>44112</c:v>
                </c:pt>
                <c:pt idx="707">
                  <c:v>44113</c:v>
                </c:pt>
                <c:pt idx="708">
                  <c:v>44116</c:v>
                </c:pt>
                <c:pt idx="709">
                  <c:v>44117</c:v>
                </c:pt>
                <c:pt idx="710">
                  <c:v>44118</c:v>
                </c:pt>
                <c:pt idx="711">
                  <c:v>44119</c:v>
                </c:pt>
                <c:pt idx="712">
                  <c:v>44120</c:v>
                </c:pt>
                <c:pt idx="713">
                  <c:v>44123</c:v>
                </c:pt>
                <c:pt idx="714">
                  <c:v>44124</c:v>
                </c:pt>
                <c:pt idx="715">
                  <c:v>44125</c:v>
                </c:pt>
                <c:pt idx="716">
                  <c:v>44126</c:v>
                </c:pt>
                <c:pt idx="717">
                  <c:v>44127</c:v>
                </c:pt>
                <c:pt idx="718">
                  <c:v>44130</c:v>
                </c:pt>
                <c:pt idx="719">
                  <c:v>44131</c:v>
                </c:pt>
                <c:pt idx="720">
                  <c:v>44132</c:v>
                </c:pt>
                <c:pt idx="721">
                  <c:v>44133</c:v>
                </c:pt>
                <c:pt idx="722">
                  <c:v>44134</c:v>
                </c:pt>
                <c:pt idx="723">
                  <c:v>44137</c:v>
                </c:pt>
                <c:pt idx="724">
                  <c:v>44138</c:v>
                </c:pt>
                <c:pt idx="725">
                  <c:v>44139</c:v>
                </c:pt>
                <c:pt idx="726">
                  <c:v>44140</c:v>
                </c:pt>
                <c:pt idx="727">
                  <c:v>44141</c:v>
                </c:pt>
                <c:pt idx="728">
                  <c:v>44144</c:v>
                </c:pt>
                <c:pt idx="729">
                  <c:v>44145</c:v>
                </c:pt>
                <c:pt idx="730">
                  <c:v>44146</c:v>
                </c:pt>
                <c:pt idx="731">
                  <c:v>44147</c:v>
                </c:pt>
                <c:pt idx="732">
                  <c:v>44148</c:v>
                </c:pt>
                <c:pt idx="733">
                  <c:v>44151</c:v>
                </c:pt>
                <c:pt idx="734">
                  <c:v>44152</c:v>
                </c:pt>
                <c:pt idx="735">
                  <c:v>44153</c:v>
                </c:pt>
                <c:pt idx="736">
                  <c:v>44154</c:v>
                </c:pt>
                <c:pt idx="737">
                  <c:v>44155</c:v>
                </c:pt>
                <c:pt idx="738">
                  <c:v>44158</c:v>
                </c:pt>
                <c:pt idx="739">
                  <c:v>44159</c:v>
                </c:pt>
                <c:pt idx="740">
                  <c:v>44160</c:v>
                </c:pt>
                <c:pt idx="741">
                  <c:v>44161</c:v>
                </c:pt>
                <c:pt idx="742">
                  <c:v>44162</c:v>
                </c:pt>
                <c:pt idx="743">
                  <c:v>44165</c:v>
                </c:pt>
                <c:pt idx="744">
                  <c:v>44166</c:v>
                </c:pt>
                <c:pt idx="745">
                  <c:v>44167</c:v>
                </c:pt>
                <c:pt idx="746">
                  <c:v>44168</c:v>
                </c:pt>
                <c:pt idx="747">
                  <c:v>44169</c:v>
                </c:pt>
                <c:pt idx="748">
                  <c:v>44172</c:v>
                </c:pt>
                <c:pt idx="749">
                  <c:v>44173</c:v>
                </c:pt>
                <c:pt idx="750">
                  <c:v>44174</c:v>
                </c:pt>
                <c:pt idx="751">
                  <c:v>44175</c:v>
                </c:pt>
                <c:pt idx="752">
                  <c:v>44176</c:v>
                </c:pt>
                <c:pt idx="753">
                  <c:v>44179</c:v>
                </c:pt>
                <c:pt idx="754">
                  <c:v>44180</c:v>
                </c:pt>
                <c:pt idx="755">
                  <c:v>44181</c:v>
                </c:pt>
                <c:pt idx="756">
                  <c:v>44182</c:v>
                </c:pt>
                <c:pt idx="757">
                  <c:v>44183</c:v>
                </c:pt>
                <c:pt idx="758">
                  <c:v>44186</c:v>
                </c:pt>
                <c:pt idx="759">
                  <c:v>44187</c:v>
                </c:pt>
                <c:pt idx="760">
                  <c:v>44188</c:v>
                </c:pt>
                <c:pt idx="761">
                  <c:v>44189</c:v>
                </c:pt>
                <c:pt idx="762">
                  <c:v>44193</c:v>
                </c:pt>
                <c:pt idx="763">
                  <c:v>44194</c:v>
                </c:pt>
                <c:pt idx="764">
                  <c:v>44195</c:v>
                </c:pt>
                <c:pt idx="765">
                  <c:v>44196</c:v>
                </c:pt>
                <c:pt idx="766">
                  <c:v>44200</c:v>
                </c:pt>
                <c:pt idx="767">
                  <c:v>44201</c:v>
                </c:pt>
                <c:pt idx="768">
                  <c:v>44202</c:v>
                </c:pt>
                <c:pt idx="769">
                  <c:v>44203</c:v>
                </c:pt>
                <c:pt idx="770">
                  <c:v>44204</c:v>
                </c:pt>
                <c:pt idx="771">
                  <c:v>44207</c:v>
                </c:pt>
                <c:pt idx="772">
                  <c:v>44208</c:v>
                </c:pt>
                <c:pt idx="773">
                  <c:v>44209</c:v>
                </c:pt>
                <c:pt idx="774">
                  <c:v>44210</c:v>
                </c:pt>
                <c:pt idx="775">
                  <c:v>44211</c:v>
                </c:pt>
                <c:pt idx="776">
                  <c:v>44214</c:v>
                </c:pt>
                <c:pt idx="777">
                  <c:v>44215</c:v>
                </c:pt>
                <c:pt idx="778">
                  <c:v>44216</c:v>
                </c:pt>
                <c:pt idx="779">
                  <c:v>44217</c:v>
                </c:pt>
                <c:pt idx="780">
                  <c:v>44218</c:v>
                </c:pt>
                <c:pt idx="781">
                  <c:v>44221</c:v>
                </c:pt>
                <c:pt idx="782">
                  <c:v>44222</c:v>
                </c:pt>
                <c:pt idx="783">
                  <c:v>44223</c:v>
                </c:pt>
                <c:pt idx="784">
                  <c:v>44224</c:v>
                </c:pt>
                <c:pt idx="785">
                  <c:v>44225</c:v>
                </c:pt>
                <c:pt idx="786">
                  <c:v>44228</c:v>
                </c:pt>
                <c:pt idx="787">
                  <c:v>44229</c:v>
                </c:pt>
                <c:pt idx="788">
                  <c:v>44230</c:v>
                </c:pt>
                <c:pt idx="789">
                  <c:v>44231</c:v>
                </c:pt>
                <c:pt idx="790">
                  <c:v>44232</c:v>
                </c:pt>
                <c:pt idx="791">
                  <c:v>44235</c:v>
                </c:pt>
                <c:pt idx="792">
                  <c:v>44236</c:v>
                </c:pt>
                <c:pt idx="793">
                  <c:v>44237</c:v>
                </c:pt>
                <c:pt idx="794">
                  <c:v>44238</c:v>
                </c:pt>
                <c:pt idx="795">
                  <c:v>44239</c:v>
                </c:pt>
                <c:pt idx="796">
                  <c:v>44242</c:v>
                </c:pt>
                <c:pt idx="797">
                  <c:v>44243</c:v>
                </c:pt>
                <c:pt idx="798">
                  <c:v>44244</c:v>
                </c:pt>
                <c:pt idx="799">
                  <c:v>44245</c:v>
                </c:pt>
                <c:pt idx="800">
                  <c:v>44246</c:v>
                </c:pt>
                <c:pt idx="801">
                  <c:v>44249</c:v>
                </c:pt>
                <c:pt idx="802">
                  <c:v>44250</c:v>
                </c:pt>
                <c:pt idx="803">
                  <c:v>44251</c:v>
                </c:pt>
                <c:pt idx="804">
                  <c:v>44252</c:v>
                </c:pt>
                <c:pt idx="805">
                  <c:v>44253</c:v>
                </c:pt>
                <c:pt idx="806">
                  <c:v>44256</c:v>
                </c:pt>
                <c:pt idx="807">
                  <c:v>44257</c:v>
                </c:pt>
                <c:pt idx="808">
                  <c:v>44258</c:v>
                </c:pt>
                <c:pt idx="809">
                  <c:v>44259</c:v>
                </c:pt>
                <c:pt idx="810">
                  <c:v>44260</c:v>
                </c:pt>
                <c:pt idx="811">
                  <c:v>44263</c:v>
                </c:pt>
                <c:pt idx="812">
                  <c:v>44264</c:v>
                </c:pt>
                <c:pt idx="813">
                  <c:v>44265</c:v>
                </c:pt>
                <c:pt idx="814">
                  <c:v>44266</c:v>
                </c:pt>
                <c:pt idx="815">
                  <c:v>44267</c:v>
                </c:pt>
                <c:pt idx="816">
                  <c:v>44270</c:v>
                </c:pt>
                <c:pt idx="817">
                  <c:v>44271</c:v>
                </c:pt>
                <c:pt idx="818">
                  <c:v>44272</c:v>
                </c:pt>
                <c:pt idx="819">
                  <c:v>44273</c:v>
                </c:pt>
                <c:pt idx="820">
                  <c:v>44274</c:v>
                </c:pt>
                <c:pt idx="821">
                  <c:v>44277</c:v>
                </c:pt>
                <c:pt idx="822">
                  <c:v>44278</c:v>
                </c:pt>
                <c:pt idx="823">
                  <c:v>44279</c:v>
                </c:pt>
                <c:pt idx="824">
                  <c:v>44280</c:v>
                </c:pt>
                <c:pt idx="825">
                  <c:v>44281</c:v>
                </c:pt>
                <c:pt idx="826">
                  <c:v>44284</c:v>
                </c:pt>
                <c:pt idx="827">
                  <c:v>44285</c:v>
                </c:pt>
                <c:pt idx="828">
                  <c:v>44286</c:v>
                </c:pt>
                <c:pt idx="829">
                  <c:v>44287</c:v>
                </c:pt>
                <c:pt idx="830">
                  <c:v>44291</c:v>
                </c:pt>
                <c:pt idx="831">
                  <c:v>44292</c:v>
                </c:pt>
                <c:pt idx="832">
                  <c:v>44293</c:v>
                </c:pt>
                <c:pt idx="833">
                  <c:v>44294</c:v>
                </c:pt>
                <c:pt idx="834">
                  <c:v>44295</c:v>
                </c:pt>
                <c:pt idx="835">
                  <c:v>44298</c:v>
                </c:pt>
                <c:pt idx="836">
                  <c:v>44299</c:v>
                </c:pt>
                <c:pt idx="837">
                  <c:v>44300</c:v>
                </c:pt>
                <c:pt idx="838">
                  <c:v>44301</c:v>
                </c:pt>
                <c:pt idx="839">
                  <c:v>44302</c:v>
                </c:pt>
                <c:pt idx="840">
                  <c:v>44305</c:v>
                </c:pt>
                <c:pt idx="841">
                  <c:v>44306</c:v>
                </c:pt>
                <c:pt idx="842">
                  <c:v>44307</c:v>
                </c:pt>
                <c:pt idx="843">
                  <c:v>44308</c:v>
                </c:pt>
                <c:pt idx="844">
                  <c:v>44309</c:v>
                </c:pt>
                <c:pt idx="845">
                  <c:v>44312</c:v>
                </c:pt>
                <c:pt idx="846">
                  <c:v>44313</c:v>
                </c:pt>
                <c:pt idx="847">
                  <c:v>44314</c:v>
                </c:pt>
                <c:pt idx="848">
                  <c:v>44315</c:v>
                </c:pt>
                <c:pt idx="849">
                  <c:v>44316</c:v>
                </c:pt>
                <c:pt idx="850">
                  <c:v>44319</c:v>
                </c:pt>
                <c:pt idx="851">
                  <c:v>44320</c:v>
                </c:pt>
                <c:pt idx="852">
                  <c:v>44321</c:v>
                </c:pt>
                <c:pt idx="853">
                  <c:v>44322</c:v>
                </c:pt>
                <c:pt idx="854">
                  <c:v>44323</c:v>
                </c:pt>
                <c:pt idx="855">
                  <c:v>44326</c:v>
                </c:pt>
                <c:pt idx="856">
                  <c:v>44327</c:v>
                </c:pt>
                <c:pt idx="857">
                  <c:v>44328</c:v>
                </c:pt>
                <c:pt idx="858">
                  <c:v>44329</c:v>
                </c:pt>
                <c:pt idx="859">
                  <c:v>44330</c:v>
                </c:pt>
                <c:pt idx="860">
                  <c:v>44333</c:v>
                </c:pt>
                <c:pt idx="861">
                  <c:v>44334</c:v>
                </c:pt>
                <c:pt idx="862">
                  <c:v>44335</c:v>
                </c:pt>
                <c:pt idx="863">
                  <c:v>44336</c:v>
                </c:pt>
                <c:pt idx="864">
                  <c:v>44337</c:v>
                </c:pt>
                <c:pt idx="865">
                  <c:v>44340</c:v>
                </c:pt>
                <c:pt idx="866">
                  <c:v>44341</c:v>
                </c:pt>
                <c:pt idx="867">
                  <c:v>44342</c:v>
                </c:pt>
                <c:pt idx="868">
                  <c:v>44343</c:v>
                </c:pt>
                <c:pt idx="869">
                  <c:v>44344</c:v>
                </c:pt>
                <c:pt idx="870">
                  <c:v>44347</c:v>
                </c:pt>
                <c:pt idx="871">
                  <c:v>44348</c:v>
                </c:pt>
                <c:pt idx="872">
                  <c:v>44349</c:v>
                </c:pt>
                <c:pt idx="873">
                  <c:v>44350</c:v>
                </c:pt>
                <c:pt idx="874">
                  <c:v>44351</c:v>
                </c:pt>
                <c:pt idx="875">
                  <c:v>44354</c:v>
                </c:pt>
                <c:pt idx="876">
                  <c:v>44355</c:v>
                </c:pt>
                <c:pt idx="877">
                  <c:v>44356</c:v>
                </c:pt>
                <c:pt idx="878">
                  <c:v>44357</c:v>
                </c:pt>
                <c:pt idx="879">
                  <c:v>44358</c:v>
                </c:pt>
                <c:pt idx="880">
                  <c:v>44361</c:v>
                </c:pt>
                <c:pt idx="881">
                  <c:v>44362</c:v>
                </c:pt>
                <c:pt idx="882">
                  <c:v>44363</c:v>
                </c:pt>
                <c:pt idx="883">
                  <c:v>44364</c:v>
                </c:pt>
                <c:pt idx="884">
                  <c:v>44365</c:v>
                </c:pt>
                <c:pt idx="885">
                  <c:v>44368</c:v>
                </c:pt>
                <c:pt idx="886">
                  <c:v>44369</c:v>
                </c:pt>
                <c:pt idx="887">
                  <c:v>44370</c:v>
                </c:pt>
                <c:pt idx="888">
                  <c:v>44371</c:v>
                </c:pt>
                <c:pt idx="889">
                  <c:v>44372</c:v>
                </c:pt>
                <c:pt idx="890">
                  <c:v>44375</c:v>
                </c:pt>
                <c:pt idx="891">
                  <c:v>44376</c:v>
                </c:pt>
                <c:pt idx="892">
                  <c:v>44377</c:v>
                </c:pt>
                <c:pt idx="893">
                  <c:v>44378</c:v>
                </c:pt>
                <c:pt idx="894">
                  <c:v>44379</c:v>
                </c:pt>
                <c:pt idx="895">
                  <c:v>44382</c:v>
                </c:pt>
                <c:pt idx="896">
                  <c:v>44383</c:v>
                </c:pt>
                <c:pt idx="897">
                  <c:v>44384</c:v>
                </c:pt>
                <c:pt idx="898">
                  <c:v>44385</c:v>
                </c:pt>
                <c:pt idx="899">
                  <c:v>44386</c:v>
                </c:pt>
                <c:pt idx="900">
                  <c:v>44389</c:v>
                </c:pt>
                <c:pt idx="901">
                  <c:v>44390</c:v>
                </c:pt>
                <c:pt idx="902">
                  <c:v>44391</c:v>
                </c:pt>
                <c:pt idx="903">
                  <c:v>44392</c:v>
                </c:pt>
                <c:pt idx="904">
                  <c:v>44393</c:v>
                </c:pt>
                <c:pt idx="905">
                  <c:v>44396</c:v>
                </c:pt>
                <c:pt idx="906">
                  <c:v>44397</c:v>
                </c:pt>
                <c:pt idx="907">
                  <c:v>44398</c:v>
                </c:pt>
                <c:pt idx="908">
                  <c:v>44399</c:v>
                </c:pt>
                <c:pt idx="909">
                  <c:v>44400</c:v>
                </c:pt>
                <c:pt idx="910">
                  <c:v>44403</c:v>
                </c:pt>
                <c:pt idx="911">
                  <c:v>44404</c:v>
                </c:pt>
                <c:pt idx="912">
                  <c:v>44405</c:v>
                </c:pt>
                <c:pt idx="913">
                  <c:v>44406</c:v>
                </c:pt>
                <c:pt idx="914">
                  <c:v>44407</c:v>
                </c:pt>
                <c:pt idx="915">
                  <c:v>44410</c:v>
                </c:pt>
                <c:pt idx="916">
                  <c:v>44411</c:v>
                </c:pt>
                <c:pt idx="917">
                  <c:v>44412</c:v>
                </c:pt>
                <c:pt idx="918">
                  <c:v>44413</c:v>
                </c:pt>
                <c:pt idx="919">
                  <c:v>44414</c:v>
                </c:pt>
                <c:pt idx="920">
                  <c:v>44417</c:v>
                </c:pt>
                <c:pt idx="921">
                  <c:v>44418</c:v>
                </c:pt>
                <c:pt idx="922">
                  <c:v>44419</c:v>
                </c:pt>
                <c:pt idx="923">
                  <c:v>44420</c:v>
                </c:pt>
                <c:pt idx="924">
                  <c:v>44421</c:v>
                </c:pt>
                <c:pt idx="925">
                  <c:v>44424</c:v>
                </c:pt>
                <c:pt idx="926">
                  <c:v>44425</c:v>
                </c:pt>
                <c:pt idx="927">
                  <c:v>44426</c:v>
                </c:pt>
                <c:pt idx="928">
                  <c:v>44427</c:v>
                </c:pt>
                <c:pt idx="929">
                  <c:v>44428</c:v>
                </c:pt>
                <c:pt idx="930">
                  <c:v>44431</c:v>
                </c:pt>
                <c:pt idx="931">
                  <c:v>44432</c:v>
                </c:pt>
                <c:pt idx="932">
                  <c:v>44433</c:v>
                </c:pt>
                <c:pt idx="933">
                  <c:v>44434</c:v>
                </c:pt>
                <c:pt idx="934">
                  <c:v>44435</c:v>
                </c:pt>
                <c:pt idx="935">
                  <c:v>44438</c:v>
                </c:pt>
                <c:pt idx="936">
                  <c:v>44439</c:v>
                </c:pt>
                <c:pt idx="937">
                  <c:v>44440</c:v>
                </c:pt>
                <c:pt idx="938">
                  <c:v>44441</c:v>
                </c:pt>
                <c:pt idx="939">
                  <c:v>44442</c:v>
                </c:pt>
                <c:pt idx="940">
                  <c:v>44445</c:v>
                </c:pt>
                <c:pt idx="941">
                  <c:v>44446</c:v>
                </c:pt>
                <c:pt idx="942">
                  <c:v>44447</c:v>
                </c:pt>
                <c:pt idx="943">
                  <c:v>44448</c:v>
                </c:pt>
                <c:pt idx="944">
                  <c:v>44449</c:v>
                </c:pt>
                <c:pt idx="945">
                  <c:v>44452</c:v>
                </c:pt>
                <c:pt idx="946">
                  <c:v>44453</c:v>
                </c:pt>
                <c:pt idx="947">
                  <c:v>44454</c:v>
                </c:pt>
                <c:pt idx="948">
                  <c:v>44455</c:v>
                </c:pt>
                <c:pt idx="949">
                  <c:v>44456</c:v>
                </c:pt>
                <c:pt idx="950">
                  <c:v>44459</c:v>
                </c:pt>
                <c:pt idx="951">
                  <c:v>44460</c:v>
                </c:pt>
                <c:pt idx="952">
                  <c:v>44461</c:v>
                </c:pt>
                <c:pt idx="953">
                  <c:v>44462</c:v>
                </c:pt>
                <c:pt idx="954">
                  <c:v>44463</c:v>
                </c:pt>
                <c:pt idx="955">
                  <c:v>44466</c:v>
                </c:pt>
                <c:pt idx="956">
                  <c:v>44467</c:v>
                </c:pt>
                <c:pt idx="957">
                  <c:v>44468</c:v>
                </c:pt>
                <c:pt idx="958">
                  <c:v>44469</c:v>
                </c:pt>
                <c:pt idx="959">
                  <c:v>44470</c:v>
                </c:pt>
                <c:pt idx="960">
                  <c:v>44473</c:v>
                </c:pt>
                <c:pt idx="961">
                  <c:v>44474</c:v>
                </c:pt>
                <c:pt idx="962">
                  <c:v>44475</c:v>
                </c:pt>
                <c:pt idx="963">
                  <c:v>44476</c:v>
                </c:pt>
                <c:pt idx="964">
                  <c:v>44477</c:v>
                </c:pt>
                <c:pt idx="965">
                  <c:v>44480</c:v>
                </c:pt>
                <c:pt idx="966">
                  <c:v>44481</c:v>
                </c:pt>
                <c:pt idx="967">
                  <c:v>44482</c:v>
                </c:pt>
                <c:pt idx="968">
                  <c:v>44483</c:v>
                </c:pt>
                <c:pt idx="969">
                  <c:v>44484</c:v>
                </c:pt>
                <c:pt idx="970">
                  <c:v>44487</c:v>
                </c:pt>
                <c:pt idx="971">
                  <c:v>44488</c:v>
                </c:pt>
                <c:pt idx="972">
                  <c:v>44489</c:v>
                </c:pt>
                <c:pt idx="973">
                  <c:v>44490</c:v>
                </c:pt>
                <c:pt idx="974">
                  <c:v>44491</c:v>
                </c:pt>
                <c:pt idx="975">
                  <c:v>44494</c:v>
                </c:pt>
                <c:pt idx="976">
                  <c:v>44495</c:v>
                </c:pt>
                <c:pt idx="977">
                  <c:v>44496</c:v>
                </c:pt>
                <c:pt idx="978">
                  <c:v>44497</c:v>
                </c:pt>
                <c:pt idx="979">
                  <c:v>44498</c:v>
                </c:pt>
                <c:pt idx="980">
                  <c:v>44501</c:v>
                </c:pt>
                <c:pt idx="981">
                  <c:v>44502</c:v>
                </c:pt>
                <c:pt idx="982">
                  <c:v>44503</c:v>
                </c:pt>
                <c:pt idx="983">
                  <c:v>44504</c:v>
                </c:pt>
                <c:pt idx="984">
                  <c:v>44505</c:v>
                </c:pt>
                <c:pt idx="985">
                  <c:v>44508</c:v>
                </c:pt>
                <c:pt idx="986">
                  <c:v>44509</c:v>
                </c:pt>
                <c:pt idx="987">
                  <c:v>44510</c:v>
                </c:pt>
                <c:pt idx="988">
                  <c:v>44511</c:v>
                </c:pt>
                <c:pt idx="989">
                  <c:v>44512</c:v>
                </c:pt>
                <c:pt idx="990">
                  <c:v>44515</c:v>
                </c:pt>
                <c:pt idx="991">
                  <c:v>44516</c:v>
                </c:pt>
                <c:pt idx="992">
                  <c:v>44517</c:v>
                </c:pt>
                <c:pt idx="993">
                  <c:v>44518</c:v>
                </c:pt>
                <c:pt idx="994">
                  <c:v>44519</c:v>
                </c:pt>
                <c:pt idx="995">
                  <c:v>44522</c:v>
                </c:pt>
                <c:pt idx="996">
                  <c:v>44523</c:v>
                </c:pt>
                <c:pt idx="997">
                  <c:v>44524</c:v>
                </c:pt>
                <c:pt idx="998">
                  <c:v>44525</c:v>
                </c:pt>
                <c:pt idx="999">
                  <c:v>44526</c:v>
                </c:pt>
                <c:pt idx="1000">
                  <c:v>44529</c:v>
                </c:pt>
                <c:pt idx="1001">
                  <c:v>44530</c:v>
                </c:pt>
                <c:pt idx="1002">
                  <c:v>44531</c:v>
                </c:pt>
                <c:pt idx="1003">
                  <c:v>44532</c:v>
                </c:pt>
                <c:pt idx="1004">
                  <c:v>44533</c:v>
                </c:pt>
                <c:pt idx="1005">
                  <c:v>44536</c:v>
                </c:pt>
                <c:pt idx="1006">
                  <c:v>44537</c:v>
                </c:pt>
                <c:pt idx="1007">
                  <c:v>44538</c:v>
                </c:pt>
                <c:pt idx="1008">
                  <c:v>44539</c:v>
                </c:pt>
                <c:pt idx="1009">
                  <c:v>44540</c:v>
                </c:pt>
                <c:pt idx="1010">
                  <c:v>44543</c:v>
                </c:pt>
                <c:pt idx="1011">
                  <c:v>44544</c:v>
                </c:pt>
                <c:pt idx="1012">
                  <c:v>44545</c:v>
                </c:pt>
                <c:pt idx="1013">
                  <c:v>44546</c:v>
                </c:pt>
                <c:pt idx="1014">
                  <c:v>44547</c:v>
                </c:pt>
                <c:pt idx="1015">
                  <c:v>44550</c:v>
                </c:pt>
                <c:pt idx="1016">
                  <c:v>44551</c:v>
                </c:pt>
                <c:pt idx="1017">
                  <c:v>44552</c:v>
                </c:pt>
                <c:pt idx="1018">
                  <c:v>44553</c:v>
                </c:pt>
                <c:pt idx="1019">
                  <c:v>44554</c:v>
                </c:pt>
                <c:pt idx="1020">
                  <c:v>44557</c:v>
                </c:pt>
                <c:pt idx="1021">
                  <c:v>44558</c:v>
                </c:pt>
                <c:pt idx="1022">
                  <c:v>44559</c:v>
                </c:pt>
                <c:pt idx="1023">
                  <c:v>44560</c:v>
                </c:pt>
                <c:pt idx="1024">
                  <c:v>44561</c:v>
                </c:pt>
                <c:pt idx="1025">
                  <c:v>44564</c:v>
                </c:pt>
                <c:pt idx="1026">
                  <c:v>44565</c:v>
                </c:pt>
                <c:pt idx="1027">
                  <c:v>44566</c:v>
                </c:pt>
                <c:pt idx="1028">
                  <c:v>44567</c:v>
                </c:pt>
                <c:pt idx="1029">
                  <c:v>44568</c:v>
                </c:pt>
                <c:pt idx="1030">
                  <c:v>44571</c:v>
                </c:pt>
                <c:pt idx="1031">
                  <c:v>44572</c:v>
                </c:pt>
                <c:pt idx="1032">
                  <c:v>44573</c:v>
                </c:pt>
                <c:pt idx="1033">
                  <c:v>44574</c:v>
                </c:pt>
                <c:pt idx="1034">
                  <c:v>44575</c:v>
                </c:pt>
                <c:pt idx="1035">
                  <c:v>44578</c:v>
                </c:pt>
                <c:pt idx="1036">
                  <c:v>44579</c:v>
                </c:pt>
                <c:pt idx="1037">
                  <c:v>44580</c:v>
                </c:pt>
                <c:pt idx="1038">
                  <c:v>44581</c:v>
                </c:pt>
                <c:pt idx="1039">
                  <c:v>44582</c:v>
                </c:pt>
                <c:pt idx="1040">
                  <c:v>44585</c:v>
                </c:pt>
                <c:pt idx="1041">
                  <c:v>44586</c:v>
                </c:pt>
                <c:pt idx="1042">
                  <c:v>44587</c:v>
                </c:pt>
                <c:pt idx="1043">
                  <c:v>44588</c:v>
                </c:pt>
                <c:pt idx="1044">
                  <c:v>44589</c:v>
                </c:pt>
                <c:pt idx="1045">
                  <c:v>44592</c:v>
                </c:pt>
                <c:pt idx="1046">
                  <c:v>44593</c:v>
                </c:pt>
                <c:pt idx="1047">
                  <c:v>44594</c:v>
                </c:pt>
                <c:pt idx="1048">
                  <c:v>44595</c:v>
                </c:pt>
                <c:pt idx="1049">
                  <c:v>44596</c:v>
                </c:pt>
                <c:pt idx="1050">
                  <c:v>44599</c:v>
                </c:pt>
                <c:pt idx="1051">
                  <c:v>44600</c:v>
                </c:pt>
                <c:pt idx="1052">
                  <c:v>44601</c:v>
                </c:pt>
                <c:pt idx="1053">
                  <c:v>44602</c:v>
                </c:pt>
                <c:pt idx="1054">
                  <c:v>44603</c:v>
                </c:pt>
                <c:pt idx="1055">
                  <c:v>44606</c:v>
                </c:pt>
                <c:pt idx="1056">
                  <c:v>44607</c:v>
                </c:pt>
                <c:pt idx="1057">
                  <c:v>44608</c:v>
                </c:pt>
                <c:pt idx="1058">
                  <c:v>44609</c:v>
                </c:pt>
                <c:pt idx="1059">
                  <c:v>44610</c:v>
                </c:pt>
                <c:pt idx="1060">
                  <c:v>44613</c:v>
                </c:pt>
                <c:pt idx="1061">
                  <c:v>44614</c:v>
                </c:pt>
                <c:pt idx="1062">
                  <c:v>44615</c:v>
                </c:pt>
                <c:pt idx="1063">
                  <c:v>44616</c:v>
                </c:pt>
                <c:pt idx="1064">
                  <c:v>44617</c:v>
                </c:pt>
                <c:pt idx="1065">
                  <c:v>44620</c:v>
                </c:pt>
                <c:pt idx="1066">
                  <c:v>44621</c:v>
                </c:pt>
                <c:pt idx="1067">
                  <c:v>44622</c:v>
                </c:pt>
                <c:pt idx="1068">
                  <c:v>44623</c:v>
                </c:pt>
                <c:pt idx="1069">
                  <c:v>44624</c:v>
                </c:pt>
                <c:pt idx="1070">
                  <c:v>44627</c:v>
                </c:pt>
                <c:pt idx="1071">
                  <c:v>44628</c:v>
                </c:pt>
                <c:pt idx="1072">
                  <c:v>44629</c:v>
                </c:pt>
                <c:pt idx="1073">
                  <c:v>44630</c:v>
                </c:pt>
                <c:pt idx="1074">
                  <c:v>44631</c:v>
                </c:pt>
                <c:pt idx="1075">
                  <c:v>44634</c:v>
                </c:pt>
                <c:pt idx="1076">
                  <c:v>44635</c:v>
                </c:pt>
                <c:pt idx="1077">
                  <c:v>44636</c:v>
                </c:pt>
                <c:pt idx="1078">
                  <c:v>44637</c:v>
                </c:pt>
                <c:pt idx="1079">
                  <c:v>44638</c:v>
                </c:pt>
                <c:pt idx="1080">
                  <c:v>44641</c:v>
                </c:pt>
                <c:pt idx="1081">
                  <c:v>44642</c:v>
                </c:pt>
                <c:pt idx="1082">
                  <c:v>44643</c:v>
                </c:pt>
                <c:pt idx="1083">
                  <c:v>44644</c:v>
                </c:pt>
                <c:pt idx="1084">
                  <c:v>44645</c:v>
                </c:pt>
                <c:pt idx="1085">
                  <c:v>44648</c:v>
                </c:pt>
                <c:pt idx="1086">
                  <c:v>44649</c:v>
                </c:pt>
                <c:pt idx="1087">
                  <c:v>44650</c:v>
                </c:pt>
                <c:pt idx="1088">
                  <c:v>44651</c:v>
                </c:pt>
                <c:pt idx="1089">
                  <c:v>44652</c:v>
                </c:pt>
                <c:pt idx="1090">
                  <c:v>44655</c:v>
                </c:pt>
                <c:pt idx="1091">
                  <c:v>44656</c:v>
                </c:pt>
                <c:pt idx="1092">
                  <c:v>44657</c:v>
                </c:pt>
                <c:pt idx="1093">
                  <c:v>44658</c:v>
                </c:pt>
                <c:pt idx="1094">
                  <c:v>44659</c:v>
                </c:pt>
                <c:pt idx="1095">
                  <c:v>44662</c:v>
                </c:pt>
                <c:pt idx="1096">
                  <c:v>44663</c:v>
                </c:pt>
                <c:pt idx="1097">
                  <c:v>44664</c:v>
                </c:pt>
                <c:pt idx="1098">
                  <c:v>44665</c:v>
                </c:pt>
                <c:pt idx="1099">
                  <c:v>44669</c:v>
                </c:pt>
                <c:pt idx="1100">
                  <c:v>44670</c:v>
                </c:pt>
                <c:pt idx="1101">
                  <c:v>44671</c:v>
                </c:pt>
                <c:pt idx="1102">
                  <c:v>44672</c:v>
                </c:pt>
                <c:pt idx="1103">
                  <c:v>44673</c:v>
                </c:pt>
                <c:pt idx="1104">
                  <c:v>44676</c:v>
                </c:pt>
                <c:pt idx="1105">
                  <c:v>44677</c:v>
                </c:pt>
                <c:pt idx="1106">
                  <c:v>44678</c:v>
                </c:pt>
                <c:pt idx="1107">
                  <c:v>44679</c:v>
                </c:pt>
                <c:pt idx="1108">
                  <c:v>44680</c:v>
                </c:pt>
                <c:pt idx="1109">
                  <c:v>44683</c:v>
                </c:pt>
                <c:pt idx="1110">
                  <c:v>44684</c:v>
                </c:pt>
                <c:pt idx="1111">
                  <c:v>44685</c:v>
                </c:pt>
                <c:pt idx="1112">
                  <c:v>44686</c:v>
                </c:pt>
                <c:pt idx="1113">
                  <c:v>44687</c:v>
                </c:pt>
                <c:pt idx="1114">
                  <c:v>44690</c:v>
                </c:pt>
                <c:pt idx="1115">
                  <c:v>44691</c:v>
                </c:pt>
                <c:pt idx="1116">
                  <c:v>44692</c:v>
                </c:pt>
                <c:pt idx="1117">
                  <c:v>44693</c:v>
                </c:pt>
                <c:pt idx="1118">
                  <c:v>44694</c:v>
                </c:pt>
                <c:pt idx="1119">
                  <c:v>44697</c:v>
                </c:pt>
                <c:pt idx="1120">
                  <c:v>44698</c:v>
                </c:pt>
                <c:pt idx="1121">
                  <c:v>44699</c:v>
                </c:pt>
                <c:pt idx="1122">
                  <c:v>44700</c:v>
                </c:pt>
                <c:pt idx="1123">
                  <c:v>44701</c:v>
                </c:pt>
                <c:pt idx="1124">
                  <c:v>44704</c:v>
                </c:pt>
                <c:pt idx="1125">
                  <c:v>44705</c:v>
                </c:pt>
                <c:pt idx="1126">
                  <c:v>44706</c:v>
                </c:pt>
                <c:pt idx="1127">
                  <c:v>44707</c:v>
                </c:pt>
                <c:pt idx="1128">
                  <c:v>44708</c:v>
                </c:pt>
                <c:pt idx="1129">
                  <c:v>44711</c:v>
                </c:pt>
                <c:pt idx="1130">
                  <c:v>44712</c:v>
                </c:pt>
                <c:pt idx="1131">
                  <c:v>44713</c:v>
                </c:pt>
                <c:pt idx="1132">
                  <c:v>44714</c:v>
                </c:pt>
                <c:pt idx="1133">
                  <c:v>44715</c:v>
                </c:pt>
                <c:pt idx="1134">
                  <c:v>44718</c:v>
                </c:pt>
                <c:pt idx="1135">
                  <c:v>44719</c:v>
                </c:pt>
                <c:pt idx="1136">
                  <c:v>44720</c:v>
                </c:pt>
                <c:pt idx="1137">
                  <c:v>44721</c:v>
                </c:pt>
                <c:pt idx="1138">
                  <c:v>44722</c:v>
                </c:pt>
                <c:pt idx="1139">
                  <c:v>44725</c:v>
                </c:pt>
                <c:pt idx="1140">
                  <c:v>44726</c:v>
                </c:pt>
                <c:pt idx="1141">
                  <c:v>44727</c:v>
                </c:pt>
                <c:pt idx="1142">
                  <c:v>44728</c:v>
                </c:pt>
                <c:pt idx="1143">
                  <c:v>44729</c:v>
                </c:pt>
                <c:pt idx="1144">
                  <c:v>44732</c:v>
                </c:pt>
                <c:pt idx="1145">
                  <c:v>44733</c:v>
                </c:pt>
                <c:pt idx="1146">
                  <c:v>44734</c:v>
                </c:pt>
                <c:pt idx="1147">
                  <c:v>44735</c:v>
                </c:pt>
                <c:pt idx="1148">
                  <c:v>44736</c:v>
                </c:pt>
                <c:pt idx="1149">
                  <c:v>44739</c:v>
                </c:pt>
                <c:pt idx="1150">
                  <c:v>44740</c:v>
                </c:pt>
                <c:pt idx="1151">
                  <c:v>44741</c:v>
                </c:pt>
                <c:pt idx="1152">
                  <c:v>44742</c:v>
                </c:pt>
                <c:pt idx="1153">
                  <c:v>44743</c:v>
                </c:pt>
                <c:pt idx="1154">
                  <c:v>44746</c:v>
                </c:pt>
                <c:pt idx="1155">
                  <c:v>44747</c:v>
                </c:pt>
                <c:pt idx="1156">
                  <c:v>44748</c:v>
                </c:pt>
                <c:pt idx="1157">
                  <c:v>44749</c:v>
                </c:pt>
                <c:pt idx="1158">
                  <c:v>44750</c:v>
                </c:pt>
                <c:pt idx="1159">
                  <c:v>44753</c:v>
                </c:pt>
                <c:pt idx="1160">
                  <c:v>44754</c:v>
                </c:pt>
                <c:pt idx="1161">
                  <c:v>44755</c:v>
                </c:pt>
                <c:pt idx="1162">
                  <c:v>44756</c:v>
                </c:pt>
                <c:pt idx="1163">
                  <c:v>44757</c:v>
                </c:pt>
                <c:pt idx="1164">
                  <c:v>44760</c:v>
                </c:pt>
                <c:pt idx="1165">
                  <c:v>44761</c:v>
                </c:pt>
                <c:pt idx="1166">
                  <c:v>44762</c:v>
                </c:pt>
                <c:pt idx="1167">
                  <c:v>44763</c:v>
                </c:pt>
                <c:pt idx="1168">
                  <c:v>44764</c:v>
                </c:pt>
                <c:pt idx="1169">
                  <c:v>44767</c:v>
                </c:pt>
                <c:pt idx="1170">
                  <c:v>44768</c:v>
                </c:pt>
                <c:pt idx="1171">
                  <c:v>44769</c:v>
                </c:pt>
                <c:pt idx="1172">
                  <c:v>44770</c:v>
                </c:pt>
                <c:pt idx="1173">
                  <c:v>44771</c:v>
                </c:pt>
                <c:pt idx="1174">
                  <c:v>44774</c:v>
                </c:pt>
                <c:pt idx="1175">
                  <c:v>44775</c:v>
                </c:pt>
                <c:pt idx="1176">
                  <c:v>44776</c:v>
                </c:pt>
                <c:pt idx="1177">
                  <c:v>44777</c:v>
                </c:pt>
                <c:pt idx="1178">
                  <c:v>44778</c:v>
                </c:pt>
                <c:pt idx="1179">
                  <c:v>44781</c:v>
                </c:pt>
                <c:pt idx="1180">
                  <c:v>44782</c:v>
                </c:pt>
                <c:pt idx="1181">
                  <c:v>44783</c:v>
                </c:pt>
                <c:pt idx="1182">
                  <c:v>44784</c:v>
                </c:pt>
                <c:pt idx="1183">
                  <c:v>44785</c:v>
                </c:pt>
                <c:pt idx="1184">
                  <c:v>44788</c:v>
                </c:pt>
                <c:pt idx="1185">
                  <c:v>44789</c:v>
                </c:pt>
                <c:pt idx="1186">
                  <c:v>44790</c:v>
                </c:pt>
                <c:pt idx="1187">
                  <c:v>44791</c:v>
                </c:pt>
                <c:pt idx="1188">
                  <c:v>44792</c:v>
                </c:pt>
                <c:pt idx="1189">
                  <c:v>44795</c:v>
                </c:pt>
                <c:pt idx="1190">
                  <c:v>44796</c:v>
                </c:pt>
                <c:pt idx="1191">
                  <c:v>44797</c:v>
                </c:pt>
                <c:pt idx="1192">
                  <c:v>44798</c:v>
                </c:pt>
                <c:pt idx="1193">
                  <c:v>44799</c:v>
                </c:pt>
                <c:pt idx="1194">
                  <c:v>44802</c:v>
                </c:pt>
                <c:pt idx="1195">
                  <c:v>44803</c:v>
                </c:pt>
                <c:pt idx="1196">
                  <c:v>44804</c:v>
                </c:pt>
                <c:pt idx="1197">
                  <c:v>44805</c:v>
                </c:pt>
                <c:pt idx="1198">
                  <c:v>44806</c:v>
                </c:pt>
                <c:pt idx="1199">
                  <c:v>44809</c:v>
                </c:pt>
                <c:pt idx="1200">
                  <c:v>44810</c:v>
                </c:pt>
                <c:pt idx="1201">
                  <c:v>44811</c:v>
                </c:pt>
                <c:pt idx="1202">
                  <c:v>44812</c:v>
                </c:pt>
                <c:pt idx="1203">
                  <c:v>44813</c:v>
                </c:pt>
                <c:pt idx="1204">
                  <c:v>44816</c:v>
                </c:pt>
                <c:pt idx="1205">
                  <c:v>44817</c:v>
                </c:pt>
                <c:pt idx="1206">
                  <c:v>44818</c:v>
                </c:pt>
                <c:pt idx="1207">
                  <c:v>44819</c:v>
                </c:pt>
                <c:pt idx="1208">
                  <c:v>44820</c:v>
                </c:pt>
                <c:pt idx="1209">
                  <c:v>44823</c:v>
                </c:pt>
                <c:pt idx="1210">
                  <c:v>44824</c:v>
                </c:pt>
                <c:pt idx="1211">
                  <c:v>44825</c:v>
                </c:pt>
                <c:pt idx="1212">
                  <c:v>44826</c:v>
                </c:pt>
                <c:pt idx="1213">
                  <c:v>44827</c:v>
                </c:pt>
                <c:pt idx="1214">
                  <c:v>44830</c:v>
                </c:pt>
                <c:pt idx="1215">
                  <c:v>44831</c:v>
                </c:pt>
                <c:pt idx="1216">
                  <c:v>44832</c:v>
                </c:pt>
                <c:pt idx="1217">
                  <c:v>44833</c:v>
                </c:pt>
                <c:pt idx="1218">
                  <c:v>44834</c:v>
                </c:pt>
                <c:pt idx="1219">
                  <c:v>44837</c:v>
                </c:pt>
                <c:pt idx="1220">
                  <c:v>44838</c:v>
                </c:pt>
                <c:pt idx="1221">
                  <c:v>44839</c:v>
                </c:pt>
                <c:pt idx="1222">
                  <c:v>44840</c:v>
                </c:pt>
                <c:pt idx="1223">
                  <c:v>44841</c:v>
                </c:pt>
                <c:pt idx="1224">
                  <c:v>44844</c:v>
                </c:pt>
                <c:pt idx="1225">
                  <c:v>44845</c:v>
                </c:pt>
                <c:pt idx="1226">
                  <c:v>44846</c:v>
                </c:pt>
                <c:pt idx="1227">
                  <c:v>44847</c:v>
                </c:pt>
                <c:pt idx="1228">
                  <c:v>44848</c:v>
                </c:pt>
                <c:pt idx="1229">
                  <c:v>44851</c:v>
                </c:pt>
                <c:pt idx="1230">
                  <c:v>44852</c:v>
                </c:pt>
                <c:pt idx="1231">
                  <c:v>44853</c:v>
                </c:pt>
                <c:pt idx="1232">
                  <c:v>44854</c:v>
                </c:pt>
                <c:pt idx="1233">
                  <c:v>44855</c:v>
                </c:pt>
                <c:pt idx="1234">
                  <c:v>44858</c:v>
                </c:pt>
                <c:pt idx="1235">
                  <c:v>44859</c:v>
                </c:pt>
                <c:pt idx="1236">
                  <c:v>44860</c:v>
                </c:pt>
                <c:pt idx="1237">
                  <c:v>44861</c:v>
                </c:pt>
                <c:pt idx="1238">
                  <c:v>44862</c:v>
                </c:pt>
                <c:pt idx="1239">
                  <c:v>44865</c:v>
                </c:pt>
                <c:pt idx="1240">
                  <c:v>44866</c:v>
                </c:pt>
                <c:pt idx="1241">
                  <c:v>44867</c:v>
                </c:pt>
                <c:pt idx="1242">
                  <c:v>44868</c:v>
                </c:pt>
                <c:pt idx="1243">
                  <c:v>44869</c:v>
                </c:pt>
                <c:pt idx="1244">
                  <c:v>44872</c:v>
                </c:pt>
                <c:pt idx="1245">
                  <c:v>44873</c:v>
                </c:pt>
                <c:pt idx="1246">
                  <c:v>44874</c:v>
                </c:pt>
                <c:pt idx="1247">
                  <c:v>44875</c:v>
                </c:pt>
                <c:pt idx="1248">
                  <c:v>44876</c:v>
                </c:pt>
                <c:pt idx="1249">
                  <c:v>44879</c:v>
                </c:pt>
                <c:pt idx="1250">
                  <c:v>44880</c:v>
                </c:pt>
                <c:pt idx="1251">
                  <c:v>44881</c:v>
                </c:pt>
                <c:pt idx="1252">
                  <c:v>44882</c:v>
                </c:pt>
                <c:pt idx="1253">
                  <c:v>44883</c:v>
                </c:pt>
                <c:pt idx="1254">
                  <c:v>44886</c:v>
                </c:pt>
                <c:pt idx="1255">
                  <c:v>44887</c:v>
                </c:pt>
                <c:pt idx="1256">
                  <c:v>44888</c:v>
                </c:pt>
                <c:pt idx="1257">
                  <c:v>44889</c:v>
                </c:pt>
                <c:pt idx="1258">
                  <c:v>44890</c:v>
                </c:pt>
                <c:pt idx="1259">
                  <c:v>44893</c:v>
                </c:pt>
                <c:pt idx="1260">
                  <c:v>44894</c:v>
                </c:pt>
                <c:pt idx="1261">
                  <c:v>44895</c:v>
                </c:pt>
                <c:pt idx="1262">
                  <c:v>44896</c:v>
                </c:pt>
                <c:pt idx="1263">
                  <c:v>44897</c:v>
                </c:pt>
                <c:pt idx="1264">
                  <c:v>44900</c:v>
                </c:pt>
                <c:pt idx="1265">
                  <c:v>44901</c:v>
                </c:pt>
                <c:pt idx="1266">
                  <c:v>44902</c:v>
                </c:pt>
                <c:pt idx="1267">
                  <c:v>44903</c:v>
                </c:pt>
                <c:pt idx="1268">
                  <c:v>44904</c:v>
                </c:pt>
                <c:pt idx="1269">
                  <c:v>44907</c:v>
                </c:pt>
                <c:pt idx="1270">
                  <c:v>44908</c:v>
                </c:pt>
                <c:pt idx="1271">
                  <c:v>44909</c:v>
                </c:pt>
                <c:pt idx="1272">
                  <c:v>44910</c:v>
                </c:pt>
                <c:pt idx="1273">
                  <c:v>44911</c:v>
                </c:pt>
                <c:pt idx="1274">
                  <c:v>44914</c:v>
                </c:pt>
                <c:pt idx="1275">
                  <c:v>44915</c:v>
                </c:pt>
                <c:pt idx="1276">
                  <c:v>44916</c:v>
                </c:pt>
                <c:pt idx="1277">
                  <c:v>44917</c:v>
                </c:pt>
                <c:pt idx="1278">
                  <c:v>44918</c:v>
                </c:pt>
                <c:pt idx="1279">
                  <c:v>44921</c:v>
                </c:pt>
                <c:pt idx="1280">
                  <c:v>44922</c:v>
                </c:pt>
                <c:pt idx="1281">
                  <c:v>44923</c:v>
                </c:pt>
                <c:pt idx="1282">
                  <c:v>44924</c:v>
                </c:pt>
                <c:pt idx="1283">
                  <c:v>44925</c:v>
                </c:pt>
                <c:pt idx="1284">
                  <c:v>44928</c:v>
                </c:pt>
                <c:pt idx="1285">
                  <c:v>44929</c:v>
                </c:pt>
                <c:pt idx="1286">
                  <c:v>44930</c:v>
                </c:pt>
                <c:pt idx="1287">
                  <c:v>44931</c:v>
                </c:pt>
                <c:pt idx="1288">
                  <c:v>44932</c:v>
                </c:pt>
                <c:pt idx="1289">
                  <c:v>44935</c:v>
                </c:pt>
                <c:pt idx="1290">
                  <c:v>44936</c:v>
                </c:pt>
                <c:pt idx="1291">
                  <c:v>44937</c:v>
                </c:pt>
                <c:pt idx="1292">
                  <c:v>44938</c:v>
                </c:pt>
                <c:pt idx="1293">
                  <c:v>44939</c:v>
                </c:pt>
                <c:pt idx="1294">
                  <c:v>44942</c:v>
                </c:pt>
                <c:pt idx="1295">
                  <c:v>44943</c:v>
                </c:pt>
                <c:pt idx="1296">
                  <c:v>44944</c:v>
                </c:pt>
                <c:pt idx="1297">
                  <c:v>44945</c:v>
                </c:pt>
                <c:pt idx="1298">
                  <c:v>44946</c:v>
                </c:pt>
                <c:pt idx="1299">
                  <c:v>44949</c:v>
                </c:pt>
                <c:pt idx="1300">
                  <c:v>44950</c:v>
                </c:pt>
                <c:pt idx="1301">
                  <c:v>44951</c:v>
                </c:pt>
                <c:pt idx="1302">
                  <c:v>44952</c:v>
                </c:pt>
                <c:pt idx="1303">
                  <c:v>44953</c:v>
                </c:pt>
                <c:pt idx="1304">
                  <c:v>44956</c:v>
                </c:pt>
                <c:pt idx="1305">
                  <c:v>44957</c:v>
                </c:pt>
                <c:pt idx="1306">
                  <c:v>44958</c:v>
                </c:pt>
                <c:pt idx="1307">
                  <c:v>44959</c:v>
                </c:pt>
                <c:pt idx="1308">
                  <c:v>44960</c:v>
                </c:pt>
                <c:pt idx="1309">
                  <c:v>44963</c:v>
                </c:pt>
                <c:pt idx="1310">
                  <c:v>44964</c:v>
                </c:pt>
                <c:pt idx="1311">
                  <c:v>44965</c:v>
                </c:pt>
                <c:pt idx="1312">
                  <c:v>44966</c:v>
                </c:pt>
                <c:pt idx="1313">
                  <c:v>44967</c:v>
                </c:pt>
                <c:pt idx="1314">
                  <c:v>44970</c:v>
                </c:pt>
                <c:pt idx="1315">
                  <c:v>44971</c:v>
                </c:pt>
                <c:pt idx="1316">
                  <c:v>44972</c:v>
                </c:pt>
                <c:pt idx="1317">
                  <c:v>44973</c:v>
                </c:pt>
                <c:pt idx="1318">
                  <c:v>44974</c:v>
                </c:pt>
                <c:pt idx="1319">
                  <c:v>44977</c:v>
                </c:pt>
                <c:pt idx="1320">
                  <c:v>44978</c:v>
                </c:pt>
                <c:pt idx="1321">
                  <c:v>44979</c:v>
                </c:pt>
                <c:pt idx="1322">
                  <c:v>44980</c:v>
                </c:pt>
                <c:pt idx="1323">
                  <c:v>44981</c:v>
                </c:pt>
                <c:pt idx="1324">
                  <c:v>44984</c:v>
                </c:pt>
                <c:pt idx="1325">
                  <c:v>44985</c:v>
                </c:pt>
                <c:pt idx="1326">
                  <c:v>44986</c:v>
                </c:pt>
                <c:pt idx="1327">
                  <c:v>44987</c:v>
                </c:pt>
                <c:pt idx="1328">
                  <c:v>44988</c:v>
                </c:pt>
                <c:pt idx="1329">
                  <c:v>44991</c:v>
                </c:pt>
                <c:pt idx="1330">
                  <c:v>44992</c:v>
                </c:pt>
                <c:pt idx="1331">
                  <c:v>44993</c:v>
                </c:pt>
                <c:pt idx="1332">
                  <c:v>44994</c:v>
                </c:pt>
                <c:pt idx="1333">
                  <c:v>44995</c:v>
                </c:pt>
                <c:pt idx="1334">
                  <c:v>44998</c:v>
                </c:pt>
                <c:pt idx="1335">
                  <c:v>44999</c:v>
                </c:pt>
                <c:pt idx="1336">
                  <c:v>45000</c:v>
                </c:pt>
                <c:pt idx="1337">
                  <c:v>45001</c:v>
                </c:pt>
                <c:pt idx="1338">
                  <c:v>45002</c:v>
                </c:pt>
                <c:pt idx="1339">
                  <c:v>45005</c:v>
                </c:pt>
                <c:pt idx="1340">
                  <c:v>45006</c:v>
                </c:pt>
                <c:pt idx="1341">
                  <c:v>45007</c:v>
                </c:pt>
                <c:pt idx="1342">
                  <c:v>45008</c:v>
                </c:pt>
                <c:pt idx="1343">
                  <c:v>45009</c:v>
                </c:pt>
                <c:pt idx="1344">
                  <c:v>45012</c:v>
                </c:pt>
                <c:pt idx="1345">
                  <c:v>45013</c:v>
                </c:pt>
                <c:pt idx="1346">
                  <c:v>45014</c:v>
                </c:pt>
                <c:pt idx="1347">
                  <c:v>45015</c:v>
                </c:pt>
                <c:pt idx="1348">
                  <c:v>45016</c:v>
                </c:pt>
                <c:pt idx="1349">
                  <c:v>45019</c:v>
                </c:pt>
                <c:pt idx="1350">
                  <c:v>45020</c:v>
                </c:pt>
                <c:pt idx="1351">
                  <c:v>45021</c:v>
                </c:pt>
                <c:pt idx="1352">
                  <c:v>45022</c:v>
                </c:pt>
                <c:pt idx="1353">
                  <c:v>45023</c:v>
                </c:pt>
                <c:pt idx="1354">
                  <c:v>45026</c:v>
                </c:pt>
                <c:pt idx="1355">
                  <c:v>45027</c:v>
                </c:pt>
                <c:pt idx="1356">
                  <c:v>45028</c:v>
                </c:pt>
                <c:pt idx="1357">
                  <c:v>45029</c:v>
                </c:pt>
                <c:pt idx="1358">
                  <c:v>45030</c:v>
                </c:pt>
                <c:pt idx="1359">
                  <c:v>45033</c:v>
                </c:pt>
                <c:pt idx="1360">
                  <c:v>45034</c:v>
                </c:pt>
                <c:pt idx="1361">
                  <c:v>45035</c:v>
                </c:pt>
                <c:pt idx="1362">
                  <c:v>45036</c:v>
                </c:pt>
                <c:pt idx="1363">
                  <c:v>45037</c:v>
                </c:pt>
                <c:pt idx="1364">
                  <c:v>45040</c:v>
                </c:pt>
                <c:pt idx="1365">
                  <c:v>45041</c:v>
                </c:pt>
                <c:pt idx="1366">
                  <c:v>45042</c:v>
                </c:pt>
                <c:pt idx="1367">
                  <c:v>45043</c:v>
                </c:pt>
                <c:pt idx="1368">
                  <c:v>45044</c:v>
                </c:pt>
                <c:pt idx="1369">
                  <c:v>45047</c:v>
                </c:pt>
                <c:pt idx="1370">
                  <c:v>45048</c:v>
                </c:pt>
                <c:pt idx="1371">
                  <c:v>45049</c:v>
                </c:pt>
                <c:pt idx="1372">
                  <c:v>45050</c:v>
                </c:pt>
                <c:pt idx="1373">
                  <c:v>45051</c:v>
                </c:pt>
                <c:pt idx="1374">
                  <c:v>45054</c:v>
                </c:pt>
                <c:pt idx="1375">
                  <c:v>45055</c:v>
                </c:pt>
                <c:pt idx="1376">
                  <c:v>45056</c:v>
                </c:pt>
                <c:pt idx="1377">
                  <c:v>45057</c:v>
                </c:pt>
                <c:pt idx="1378">
                  <c:v>45058</c:v>
                </c:pt>
                <c:pt idx="1379">
                  <c:v>45061</c:v>
                </c:pt>
                <c:pt idx="1380">
                  <c:v>45062</c:v>
                </c:pt>
                <c:pt idx="1381">
                  <c:v>45063</c:v>
                </c:pt>
                <c:pt idx="1382">
                  <c:v>45064</c:v>
                </c:pt>
                <c:pt idx="1383">
                  <c:v>45065</c:v>
                </c:pt>
                <c:pt idx="1384">
                  <c:v>45068</c:v>
                </c:pt>
                <c:pt idx="1385">
                  <c:v>45069</c:v>
                </c:pt>
                <c:pt idx="1386">
                  <c:v>45070</c:v>
                </c:pt>
                <c:pt idx="1387">
                  <c:v>45071</c:v>
                </c:pt>
                <c:pt idx="1388">
                  <c:v>45072</c:v>
                </c:pt>
                <c:pt idx="1389">
                  <c:v>45075</c:v>
                </c:pt>
                <c:pt idx="1390">
                  <c:v>45076</c:v>
                </c:pt>
                <c:pt idx="1391">
                  <c:v>45077</c:v>
                </c:pt>
                <c:pt idx="1392">
                  <c:v>45078</c:v>
                </c:pt>
                <c:pt idx="1393">
                  <c:v>45079</c:v>
                </c:pt>
                <c:pt idx="1394">
                  <c:v>45082</c:v>
                </c:pt>
                <c:pt idx="1395">
                  <c:v>45083</c:v>
                </c:pt>
                <c:pt idx="1396">
                  <c:v>45084</c:v>
                </c:pt>
                <c:pt idx="1397">
                  <c:v>45085</c:v>
                </c:pt>
                <c:pt idx="1398">
                  <c:v>45086</c:v>
                </c:pt>
                <c:pt idx="1399">
                  <c:v>45089</c:v>
                </c:pt>
                <c:pt idx="1400">
                  <c:v>45090</c:v>
                </c:pt>
                <c:pt idx="1401">
                  <c:v>45091</c:v>
                </c:pt>
                <c:pt idx="1402">
                  <c:v>45092</c:v>
                </c:pt>
                <c:pt idx="1403">
                  <c:v>45093</c:v>
                </c:pt>
                <c:pt idx="1404">
                  <c:v>45096</c:v>
                </c:pt>
                <c:pt idx="1405">
                  <c:v>45097</c:v>
                </c:pt>
                <c:pt idx="1406">
                  <c:v>45098</c:v>
                </c:pt>
                <c:pt idx="1407">
                  <c:v>45099</c:v>
                </c:pt>
                <c:pt idx="1408">
                  <c:v>45100</c:v>
                </c:pt>
                <c:pt idx="1409">
                  <c:v>45103</c:v>
                </c:pt>
                <c:pt idx="1410">
                  <c:v>45104</c:v>
                </c:pt>
                <c:pt idx="1411">
                  <c:v>45105</c:v>
                </c:pt>
                <c:pt idx="1412">
                  <c:v>45106</c:v>
                </c:pt>
                <c:pt idx="1413">
                  <c:v>45107</c:v>
                </c:pt>
                <c:pt idx="1414">
                  <c:v>45110</c:v>
                </c:pt>
                <c:pt idx="1415">
                  <c:v>45111</c:v>
                </c:pt>
                <c:pt idx="1416">
                  <c:v>45112</c:v>
                </c:pt>
                <c:pt idx="1417">
                  <c:v>45113</c:v>
                </c:pt>
                <c:pt idx="1418">
                  <c:v>45114</c:v>
                </c:pt>
                <c:pt idx="1419">
                  <c:v>45117</c:v>
                </c:pt>
                <c:pt idx="1420">
                  <c:v>45118</c:v>
                </c:pt>
                <c:pt idx="1421">
                  <c:v>45119</c:v>
                </c:pt>
                <c:pt idx="1422">
                  <c:v>45120</c:v>
                </c:pt>
                <c:pt idx="1423">
                  <c:v>45121</c:v>
                </c:pt>
                <c:pt idx="1424">
                  <c:v>45124</c:v>
                </c:pt>
                <c:pt idx="1425">
                  <c:v>45125</c:v>
                </c:pt>
                <c:pt idx="1426">
                  <c:v>45126</c:v>
                </c:pt>
                <c:pt idx="1427">
                  <c:v>45127</c:v>
                </c:pt>
                <c:pt idx="1428">
                  <c:v>45128</c:v>
                </c:pt>
                <c:pt idx="1429">
                  <c:v>45131</c:v>
                </c:pt>
                <c:pt idx="1430">
                  <c:v>45132</c:v>
                </c:pt>
                <c:pt idx="1431">
                  <c:v>45133</c:v>
                </c:pt>
                <c:pt idx="1432">
                  <c:v>45134</c:v>
                </c:pt>
                <c:pt idx="1433">
                  <c:v>45135</c:v>
                </c:pt>
                <c:pt idx="1434">
                  <c:v>45138</c:v>
                </c:pt>
                <c:pt idx="1435">
                  <c:v>45139</c:v>
                </c:pt>
                <c:pt idx="1436">
                  <c:v>45140</c:v>
                </c:pt>
                <c:pt idx="1437">
                  <c:v>45141</c:v>
                </c:pt>
                <c:pt idx="1438">
                  <c:v>45142</c:v>
                </c:pt>
                <c:pt idx="1439">
                  <c:v>45145</c:v>
                </c:pt>
                <c:pt idx="1440">
                  <c:v>45146</c:v>
                </c:pt>
                <c:pt idx="1441">
                  <c:v>45147</c:v>
                </c:pt>
                <c:pt idx="1442">
                  <c:v>45148</c:v>
                </c:pt>
                <c:pt idx="1443">
                  <c:v>45149</c:v>
                </c:pt>
                <c:pt idx="1444">
                  <c:v>45152</c:v>
                </c:pt>
                <c:pt idx="1445">
                  <c:v>45153</c:v>
                </c:pt>
                <c:pt idx="1446">
                  <c:v>45154</c:v>
                </c:pt>
                <c:pt idx="1447">
                  <c:v>45155</c:v>
                </c:pt>
                <c:pt idx="1448">
                  <c:v>45156</c:v>
                </c:pt>
                <c:pt idx="1449">
                  <c:v>45159</c:v>
                </c:pt>
                <c:pt idx="1450">
                  <c:v>45160</c:v>
                </c:pt>
                <c:pt idx="1451">
                  <c:v>45161</c:v>
                </c:pt>
                <c:pt idx="1452">
                  <c:v>45162</c:v>
                </c:pt>
                <c:pt idx="1453">
                  <c:v>45163</c:v>
                </c:pt>
                <c:pt idx="1454">
                  <c:v>45166</c:v>
                </c:pt>
                <c:pt idx="1455">
                  <c:v>45167</c:v>
                </c:pt>
                <c:pt idx="1456">
                  <c:v>45168</c:v>
                </c:pt>
                <c:pt idx="1457">
                  <c:v>45169</c:v>
                </c:pt>
                <c:pt idx="1458">
                  <c:v>45170</c:v>
                </c:pt>
                <c:pt idx="1459">
                  <c:v>45173</c:v>
                </c:pt>
                <c:pt idx="1460">
                  <c:v>45174</c:v>
                </c:pt>
                <c:pt idx="1461">
                  <c:v>45175</c:v>
                </c:pt>
                <c:pt idx="1462">
                  <c:v>45176</c:v>
                </c:pt>
                <c:pt idx="1463">
                  <c:v>45177</c:v>
                </c:pt>
                <c:pt idx="1464">
                  <c:v>45180</c:v>
                </c:pt>
                <c:pt idx="1465">
                  <c:v>45181</c:v>
                </c:pt>
                <c:pt idx="1466">
                  <c:v>45182</c:v>
                </c:pt>
                <c:pt idx="1467">
                  <c:v>45183</c:v>
                </c:pt>
                <c:pt idx="1468">
                  <c:v>45184</c:v>
                </c:pt>
                <c:pt idx="1469">
                  <c:v>45187</c:v>
                </c:pt>
                <c:pt idx="1470">
                  <c:v>45188</c:v>
                </c:pt>
                <c:pt idx="1471">
                  <c:v>45189</c:v>
                </c:pt>
                <c:pt idx="1472">
                  <c:v>45190</c:v>
                </c:pt>
                <c:pt idx="1473">
                  <c:v>45191</c:v>
                </c:pt>
                <c:pt idx="1474">
                  <c:v>45194</c:v>
                </c:pt>
                <c:pt idx="1475">
                  <c:v>45195</c:v>
                </c:pt>
                <c:pt idx="1476">
                  <c:v>45196</c:v>
                </c:pt>
                <c:pt idx="1477">
                  <c:v>45197</c:v>
                </c:pt>
                <c:pt idx="1478">
                  <c:v>45198</c:v>
                </c:pt>
                <c:pt idx="1479">
                  <c:v>45201</c:v>
                </c:pt>
                <c:pt idx="1480">
                  <c:v>45202</c:v>
                </c:pt>
                <c:pt idx="1481">
                  <c:v>45203</c:v>
                </c:pt>
                <c:pt idx="1482">
                  <c:v>45204</c:v>
                </c:pt>
                <c:pt idx="1483">
                  <c:v>45205</c:v>
                </c:pt>
                <c:pt idx="1484">
                  <c:v>45208</c:v>
                </c:pt>
                <c:pt idx="1485">
                  <c:v>45209</c:v>
                </c:pt>
                <c:pt idx="1486">
                  <c:v>45210</c:v>
                </c:pt>
                <c:pt idx="1487">
                  <c:v>45211</c:v>
                </c:pt>
                <c:pt idx="1488">
                  <c:v>45212</c:v>
                </c:pt>
                <c:pt idx="1489">
                  <c:v>45215</c:v>
                </c:pt>
                <c:pt idx="1490">
                  <c:v>45216</c:v>
                </c:pt>
                <c:pt idx="1491">
                  <c:v>45217</c:v>
                </c:pt>
                <c:pt idx="1492">
                  <c:v>45218</c:v>
                </c:pt>
                <c:pt idx="1493">
                  <c:v>45219</c:v>
                </c:pt>
                <c:pt idx="1494">
                  <c:v>45222</c:v>
                </c:pt>
                <c:pt idx="1495">
                  <c:v>45223</c:v>
                </c:pt>
                <c:pt idx="1496">
                  <c:v>45224</c:v>
                </c:pt>
                <c:pt idx="1497">
                  <c:v>45225</c:v>
                </c:pt>
                <c:pt idx="1498">
                  <c:v>45226</c:v>
                </c:pt>
                <c:pt idx="1499">
                  <c:v>45229</c:v>
                </c:pt>
                <c:pt idx="1500">
                  <c:v>45230</c:v>
                </c:pt>
                <c:pt idx="1501">
                  <c:v>45231</c:v>
                </c:pt>
                <c:pt idx="1502">
                  <c:v>45232</c:v>
                </c:pt>
                <c:pt idx="1503">
                  <c:v>45233</c:v>
                </c:pt>
                <c:pt idx="1504">
                  <c:v>45236</c:v>
                </c:pt>
                <c:pt idx="1505">
                  <c:v>45237</c:v>
                </c:pt>
                <c:pt idx="1506">
                  <c:v>45238</c:v>
                </c:pt>
                <c:pt idx="1507">
                  <c:v>45239</c:v>
                </c:pt>
                <c:pt idx="1508">
                  <c:v>45240</c:v>
                </c:pt>
                <c:pt idx="1509">
                  <c:v>45243</c:v>
                </c:pt>
                <c:pt idx="1510">
                  <c:v>45244</c:v>
                </c:pt>
                <c:pt idx="1511">
                  <c:v>45245</c:v>
                </c:pt>
                <c:pt idx="1512">
                  <c:v>45246</c:v>
                </c:pt>
                <c:pt idx="1513">
                  <c:v>45247</c:v>
                </c:pt>
                <c:pt idx="1514">
                  <c:v>45250</c:v>
                </c:pt>
                <c:pt idx="1515">
                  <c:v>45254</c:v>
                </c:pt>
                <c:pt idx="1516">
                  <c:v>45257</c:v>
                </c:pt>
                <c:pt idx="1517">
                  <c:v>45258</c:v>
                </c:pt>
                <c:pt idx="1518">
                  <c:v>45259</c:v>
                </c:pt>
                <c:pt idx="1519">
                  <c:v>45260</c:v>
                </c:pt>
                <c:pt idx="1520">
                  <c:v>45261</c:v>
                </c:pt>
                <c:pt idx="1521">
                  <c:v>45264</c:v>
                </c:pt>
                <c:pt idx="1522">
                  <c:v>45265</c:v>
                </c:pt>
                <c:pt idx="1523">
                  <c:v>45266</c:v>
                </c:pt>
                <c:pt idx="1524">
                  <c:v>45267</c:v>
                </c:pt>
                <c:pt idx="1525">
                  <c:v>45268</c:v>
                </c:pt>
                <c:pt idx="1526">
                  <c:v>45271</c:v>
                </c:pt>
                <c:pt idx="1527">
                  <c:v>45272</c:v>
                </c:pt>
                <c:pt idx="1528">
                  <c:v>45273</c:v>
                </c:pt>
                <c:pt idx="1529">
                  <c:v>45274</c:v>
                </c:pt>
                <c:pt idx="1530">
                  <c:v>45275</c:v>
                </c:pt>
                <c:pt idx="1531">
                  <c:v>45278</c:v>
                </c:pt>
                <c:pt idx="1532">
                  <c:v>45279</c:v>
                </c:pt>
                <c:pt idx="1533">
                  <c:v>45280</c:v>
                </c:pt>
                <c:pt idx="1534">
                  <c:v>45281</c:v>
                </c:pt>
                <c:pt idx="1535">
                  <c:v>45282</c:v>
                </c:pt>
                <c:pt idx="1536">
                  <c:v>45285</c:v>
                </c:pt>
                <c:pt idx="1537">
                  <c:v>45286</c:v>
                </c:pt>
                <c:pt idx="1538">
                  <c:v>45287</c:v>
                </c:pt>
                <c:pt idx="1539">
                  <c:v>45288</c:v>
                </c:pt>
                <c:pt idx="1540">
                  <c:v>45289</c:v>
                </c:pt>
                <c:pt idx="1541">
                  <c:v>45292</c:v>
                </c:pt>
                <c:pt idx="1542">
                  <c:v>45293</c:v>
                </c:pt>
                <c:pt idx="1543">
                  <c:v>45294</c:v>
                </c:pt>
                <c:pt idx="1544">
                  <c:v>45295</c:v>
                </c:pt>
                <c:pt idx="1545">
                  <c:v>45296</c:v>
                </c:pt>
                <c:pt idx="1546">
                  <c:v>45299</c:v>
                </c:pt>
                <c:pt idx="1547">
                  <c:v>45300</c:v>
                </c:pt>
                <c:pt idx="1548">
                  <c:v>45301</c:v>
                </c:pt>
                <c:pt idx="1549">
                  <c:v>45302</c:v>
                </c:pt>
                <c:pt idx="1550">
                  <c:v>45303</c:v>
                </c:pt>
                <c:pt idx="1551">
                  <c:v>45306</c:v>
                </c:pt>
                <c:pt idx="1552">
                  <c:v>45307</c:v>
                </c:pt>
                <c:pt idx="1553">
                  <c:v>45308</c:v>
                </c:pt>
                <c:pt idx="1554">
                  <c:v>45309</c:v>
                </c:pt>
                <c:pt idx="1555">
                  <c:v>45310</c:v>
                </c:pt>
                <c:pt idx="1556">
                  <c:v>45313</c:v>
                </c:pt>
                <c:pt idx="1557">
                  <c:v>45314</c:v>
                </c:pt>
                <c:pt idx="1558">
                  <c:v>45315</c:v>
                </c:pt>
                <c:pt idx="1559">
                  <c:v>45316</c:v>
                </c:pt>
                <c:pt idx="1560">
                  <c:v>45317</c:v>
                </c:pt>
                <c:pt idx="1561">
                  <c:v>45320</c:v>
                </c:pt>
                <c:pt idx="1562">
                  <c:v>45321</c:v>
                </c:pt>
                <c:pt idx="1563">
                  <c:v>45322</c:v>
                </c:pt>
                <c:pt idx="1564">
                  <c:v>45323</c:v>
                </c:pt>
                <c:pt idx="1565">
                  <c:v>45324</c:v>
                </c:pt>
                <c:pt idx="1566">
                  <c:v>45327</c:v>
                </c:pt>
                <c:pt idx="1567">
                  <c:v>45328</c:v>
                </c:pt>
                <c:pt idx="1568">
                  <c:v>45329</c:v>
                </c:pt>
                <c:pt idx="1569">
                  <c:v>45330</c:v>
                </c:pt>
                <c:pt idx="1570">
                  <c:v>45331</c:v>
                </c:pt>
                <c:pt idx="1571">
                  <c:v>45334</c:v>
                </c:pt>
                <c:pt idx="1572">
                  <c:v>45335</c:v>
                </c:pt>
                <c:pt idx="1573">
                  <c:v>45336</c:v>
                </c:pt>
                <c:pt idx="1574">
                  <c:v>45337</c:v>
                </c:pt>
                <c:pt idx="1575">
                  <c:v>45338</c:v>
                </c:pt>
                <c:pt idx="1576">
                  <c:v>45341</c:v>
                </c:pt>
                <c:pt idx="1577">
                  <c:v>45342</c:v>
                </c:pt>
                <c:pt idx="1578">
                  <c:v>45343</c:v>
                </c:pt>
                <c:pt idx="1579">
                  <c:v>45344</c:v>
                </c:pt>
                <c:pt idx="1580">
                  <c:v>45345</c:v>
                </c:pt>
                <c:pt idx="1581">
                  <c:v>45348</c:v>
                </c:pt>
                <c:pt idx="1582">
                  <c:v>45349</c:v>
                </c:pt>
                <c:pt idx="1583">
                  <c:v>45350</c:v>
                </c:pt>
                <c:pt idx="1584">
                  <c:v>45351</c:v>
                </c:pt>
                <c:pt idx="1585">
                  <c:v>45352</c:v>
                </c:pt>
                <c:pt idx="1586">
                  <c:v>45355</c:v>
                </c:pt>
                <c:pt idx="1587">
                  <c:v>45356</c:v>
                </c:pt>
                <c:pt idx="1588">
                  <c:v>45357</c:v>
                </c:pt>
                <c:pt idx="1589">
                  <c:v>45358</c:v>
                </c:pt>
                <c:pt idx="1590">
                  <c:v>45359</c:v>
                </c:pt>
                <c:pt idx="1591">
                  <c:v>45362</c:v>
                </c:pt>
                <c:pt idx="1592">
                  <c:v>45363</c:v>
                </c:pt>
                <c:pt idx="1593">
                  <c:v>45364</c:v>
                </c:pt>
                <c:pt idx="1594">
                  <c:v>45365</c:v>
                </c:pt>
                <c:pt idx="1595">
                  <c:v>45366</c:v>
                </c:pt>
                <c:pt idx="1596">
                  <c:v>45369</c:v>
                </c:pt>
                <c:pt idx="1597">
                  <c:v>45370</c:v>
                </c:pt>
                <c:pt idx="1598">
                  <c:v>45371</c:v>
                </c:pt>
                <c:pt idx="1599">
                  <c:v>45372</c:v>
                </c:pt>
                <c:pt idx="1600">
                  <c:v>45373</c:v>
                </c:pt>
                <c:pt idx="1601">
                  <c:v>45376</c:v>
                </c:pt>
                <c:pt idx="1602">
                  <c:v>45377</c:v>
                </c:pt>
                <c:pt idx="1603">
                  <c:v>45378</c:v>
                </c:pt>
                <c:pt idx="1604">
                  <c:v>45379</c:v>
                </c:pt>
                <c:pt idx="1605">
                  <c:v>45380</c:v>
                </c:pt>
                <c:pt idx="1606">
                  <c:v>45383</c:v>
                </c:pt>
                <c:pt idx="1607">
                  <c:v>45384</c:v>
                </c:pt>
                <c:pt idx="1608">
                  <c:v>45385</c:v>
                </c:pt>
                <c:pt idx="1609">
                  <c:v>45386</c:v>
                </c:pt>
                <c:pt idx="1610">
                  <c:v>45387</c:v>
                </c:pt>
                <c:pt idx="1611">
                  <c:v>45390</c:v>
                </c:pt>
                <c:pt idx="1612">
                  <c:v>45391</c:v>
                </c:pt>
                <c:pt idx="1613">
                  <c:v>45392</c:v>
                </c:pt>
                <c:pt idx="1614">
                  <c:v>45393</c:v>
                </c:pt>
                <c:pt idx="1615">
                  <c:v>45394</c:v>
                </c:pt>
                <c:pt idx="1616">
                  <c:v>45397</c:v>
                </c:pt>
                <c:pt idx="1617">
                  <c:v>45398</c:v>
                </c:pt>
                <c:pt idx="1618">
                  <c:v>45399</c:v>
                </c:pt>
                <c:pt idx="1619">
                  <c:v>45400</c:v>
                </c:pt>
                <c:pt idx="1620">
                  <c:v>45401</c:v>
                </c:pt>
                <c:pt idx="1621">
                  <c:v>45404</c:v>
                </c:pt>
                <c:pt idx="1622">
                  <c:v>45405</c:v>
                </c:pt>
                <c:pt idx="1623">
                  <c:v>45406</c:v>
                </c:pt>
                <c:pt idx="1624">
                  <c:v>45407</c:v>
                </c:pt>
                <c:pt idx="1625">
                  <c:v>45408</c:v>
                </c:pt>
                <c:pt idx="1626">
                  <c:v>45411</c:v>
                </c:pt>
                <c:pt idx="1627">
                  <c:v>45412</c:v>
                </c:pt>
                <c:pt idx="1628">
                  <c:v>45413</c:v>
                </c:pt>
                <c:pt idx="1629">
                  <c:v>45414</c:v>
                </c:pt>
                <c:pt idx="1630">
                  <c:v>45415</c:v>
                </c:pt>
                <c:pt idx="1631">
                  <c:v>45418</c:v>
                </c:pt>
                <c:pt idx="1632">
                  <c:v>45419</c:v>
                </c:pt>
                <c:pt idx="1633">
                  <c:v>45420</c:v>
                </c:pt>
                <c:pt idx="1634">
                  <c:v>45421</c:v>
                </c:pt>
                <c:pt idx="1635">
                  <c:v>45422</c:v>
                </c:pt>
                <c:pt idx="1636">
                  <c:v>45425</c:v>
                </c:pt>
                <c:pt idx="1637">
                  <c:v>45426</c:v>
                </c:pt>
                <c:pt idx="1638">
                  <c:v>45427</c:v>
                </c:pt>
                <c:pt idx="1639">
                  <c:v>45428</c:v>
                </c:pt>
                <c:pt idx="1640">
                  <c:v>45429</c:v>
                </c:pt>
                <c:pt idx="1641">
                  <c:v>45432</c:v>
                </c:pt>
                <c:pt idx="1642">
                  <c:v>45433</c:v>
                </c:pt>
                <c:pt idx="1643">
                  <c:v>45434</c:v>
                </c:pt>
                <c:pt idx="1644">
                  <c:v>45435</c:v>
                </c:pt>
                <c:pt idx="1645">
                  <c:v>45436</c:v>
                </c:pt>
                <c:pt idx="1646">
                  <c:v>45439</c:v>
                </c:pt>
                <c:pt idx="1647">
                  <c:v>45440</c:v>
                </c:pt>
                <c:pt idx="1648">
                  <c:v>45441</c:v>
                </c:pt>
                <c:pt idx="1649">
                  <c:v>45442</c:v>
                </c:pt>
                <c:pt idx="1650">
                  <c:v>45443</c:v>
                </c:pt>
                <c:pt idx="1651">
                  <c:v>45446</c:v>
                </c:pt>
                <c:pt idx="1652">
                  <c:v>45447</c:v>
                </c:pt>
                <c:pt idx="1653">
                  <c:v>45448</c:v>
                </c:pt>
                <c:pt idx="1654">
                  <c:v>45449</c:v>
                </c:pt>
                <c:pt idx="1655">
                  <c:v>45450</c:v>
                </c:pt>
                <c:pt idx="1656">
                  <c:v>45453</c:v>
                </c:pt>
                <c:pt idx="1657">
                  <c:v>45454</c:v>
                </c:pt>
                <c:pt idx="1658">
                  <c:v>45455</c:v>
                </c:pt>
                <c:pt idx="1659">
                  <c:v>45456</c:v>
                </c:pt>
                <c:pt idx="1660">
                  <c:v>45457</c:v>
                </c:pt>
                <c:pt idx="1661">
                  <c:v>45460</c:v>
                </c:pt>
                <c:pt idx="1662">
                  <c:v>45461</c:v>
                </c:pt>
                <c:pt idx="1663">
                  <c:v>45462</c:v>
                </c:pt>
                <c:pt idx="1664">
                  <c:v>45463</c:v>
                </c:pt>
                <c:pt idx="1665">
                  <c:v>45464</c:v>
                </c:pt>
                <c:pt idx="1666">
                  <c:v>45467</c:v>
                </c:pt>
                <c:pt idx="1667">
                  <c:v>45468</c:v>
                </c:pt>
                <c:pt idx="1668">
                  <c:v>45469</c:v>
                </c:pt>
                <c:pt idx="1669">
                  <c:v>45470</c:v>
                </c:pt>
                <c:pt idx="1670">
                  <c:v>45471</c:v>
                </c:pt>
                <c:pt idx="1671">
                  <c:v>45474</c:v>
                </c:pt>
                <c:pt idx="1672">
                  <c:v>45475</c:v>
                </c:pt>
                <c:pt idx="1673">
                  <c:v>45476</c:v>
                </c:pt>
                <c:pt idx="1674">
                  <c:v>45477</c:v>
                </c:pt>
                <c:pt idx="1675">
                  <c:v>45478</c:v>
                </c:pt>
                <c:pt idx="1676">
                  <c:v>45481</c:v>
                </c:pt>
                <c:pt idx="1677">
                  <c:v>45482</c:v>
                </c:pt>
                <c:pt idx="1678">
                  <c:v>45483</c:v>
                </c:pt>
                <c:pt idx="1679">
                  <c:v>45484</c:v>
                </c:pt>
                <c:pt idx="1680">
                  <c:v>45485</c:v>
                </c:pt>
                <c:pt idx="1681">
                  <c:v>45488</c:v>
                </c:pt>
                <c:pt idx="1682">
                  <c:v>45489</c:v>
                </c:pt>
                <c:pt idx="1683">
                  <c:v>45490</c:v>
                </c:pt>
                <c:pt idx="1684">
                  <c:v>45491</c:v>
                </c:pt>
                <c:pt idx="1685">
                  <c:v>45492</c:v>
                </c:pt>
                <c:pt idx="1686">
                  <c:v>45495</c:v>
                </c:pt>
                <c:pt idx="1687">
                  <c:v>45496</c:v>
                </c:pt>
                <c:pt idx="1688">
                  <c:v>45497</c:v>
                </c:pt>
                <c:pt idx="1689">
                  <c:v>45498</c:v>
                </c:pt>
                <c:pt idx="1690">
                  <c:v>45499</c:v>
                </c:pt>
                <c:pt idx="1691">
                  <c:v>45502</c:v>
                </c:pt>
                <c:pt idx="1692">
                  <c:v>45503</c:v>
                </c:pt>
                <c:pt idx="1693">
                  <c:v>45504</c:v>
                </c:pt>
                <c:pt idx="1694">
                  <c:v>45505</c:v>
                </c:pt>
                <c:pt idx="1695">
                  <c:v>45506</c:v>
                </c:pt>
                <c:pt idx="1696">
                  <c:v>45509</c:v>
                </c:pt>
                <c:pt idx="1697">
                  <c:v>45510</c:v>
                </c:pt>
                <c:pt idx="1698">
                  <c:v>45511</c:v>
                </c:pt>
                <c:pt idx="1699">
                  <c:v>45512</c:v>
                </c:pt>
                <c:pt idx="1700">
                  <c:v>45513</c:v>
                </c:pt>
                <c:pt idx="1701">
                  <c:v>45516</c:v>
                </c:pt>
                <c:pt idx="1702">
                  <c:v>45517</c:v>
                </c:pt>
                <c:pt idx="1703">
                  <c:v>45518</c:v>
                </c:pt>
                <c:pt idx="1704">
                  <c:v>45519</c:v>
                </c:pt>
                <c:pt idx="1705">
                  <c:v>45520</c:v>
                </c:pt>
                <c:pt idx="1706">
                  <c:v>45523</c:v>
                </c:pt>
                <c:pt idx="1707">
                  <c:v>45524</c:v>
                </c:pt>
                <c:pt idx="1708">
                  <c:v>45525</c:v>
                </c:pt>
                <c:pt idx="1709">
                  <c:v>45526</c:v>
                </c:pt>
                <c:pt idx="1710">
                  <c:v>45527</c:v>
                </c:pt>
                <c:pt idx="1711">
                  <c:v>45530</c:v>
                </c:pt>
                <c:pt idx="1712">
                  <c:v>45531</c:v>
                </c:pt>
                <c:pt idx="1713">
                  <c:v>45532</c:v>
                </c:pt>
                <c:pt idx="1714">
                  <c:v>45533</c:v>
                </c:pt>
                <c:pt idx="1715">
                  <c:v>45534</c:v>
                </c:pt>
                <c:pt idx="1716">
                  <c:v>45537</c:v>
                </c:pt>
                <c:pt idx="1717">
                  <c:v>45538</c:v>
                </c:pt>
                <c:pt idx="1718">
                  <c:v>45539</c:v>
                </c:pt>
                <c:pt idx="1719">
                  <c:v>45540</c:v>
                </c:pt>
                <c:pt idx="1720">
                  <c:v>45541</c:v>
                </c:pt>
                <c:pt idx="1721">
                  <c:v>45544</c:v>
                </c:pt>
                <c:pt idx="1722">
                  <c:v>45545</c:v>
                </c:pt>
              </c:numCache>
            </c:numRef>
          </c:cat>
          <c:val>
            <c:numRef>
              <c:f>'Sugar price'!$B$17:$B$1739</c:f>
              <c:numCache>
                <c:formatCode>General</c:formatCode>
                <c:ptCount val="1723"/>
                <c:pt idx="0">
                  <c:v>0.15329999999999999</c:v>
                </c:pt>
                <c:pt idx="1">
                  <c:v>0.15310000000000001</c:v>
                </c:pt>
                <c:pt idx="2">
                  <c:v>0.1525</c:v>
                </c:pt>
                <c:pt idx="3">
                  <c:v>0.15079999999999999</c:v>
                </c:pt>
                <c:pt idx="4">
                  <c:v>0.14779999999999999</c:v>
                </c:pt>
                <c:pt idx="5">
                  <c:v>0.14729999999999999</c:v>
                </c:pt>
                <c:pt idx="6">
                  <c:v>0.14649999999999999</c:v>
                </c:pt>
                <c:pt idx="7">
                  <c:v>0.14180000000000001</c:v>
                </c:pt>
                <c:pt idx="8">
                  <c:v>0.14180000000000001</c:v>
                </c:pt>
                <c:pt idx="9">
                  <c:v>0.13589999999999999</c:v>
                </c:pt>
                <c:pt idx="10">
                  <c:v>0.13420000000000001</c:v>
                </c:pt>
                <c:pt idx="11">
                  <c:v>0.1308</c:v>
                </c:pt>
                <c:pt idx="12">
                  <c:v>0.13250000000000001</c:v>
                </c:pt>
                <c:pt idx="13">
                  <c:v>0.13170000000000001</c:v>
                </c:pt>
                <c:pt idx="14">
                  <c:v>0.13189999999999999</c:v>
                </c:pt>
                <c:pt idx="15">
                  <c:v>0.13159999999999999</c:v>
                </c:pt>
                <c:pt idx="16">
                  <c:v>0.13239999999999999</c:v>
                </c:pt>
                <c:pt idx="17">
                  <c:v>0.1336</c:v>
                </c:pt>
                <c:pt idx="18">
                  <c:v>0.13669999999999999</c:v>
                </c:pt>
                <c:pt idx="19">
                  <c:v>0.13719999999999999</c:v>
                </c:pt>
                <c:pt idx="20">
                  <c:v>0.1323</c:v>
                </c:pt>
                <c:pt idx="21">
                  <c:v>0.13370000000000001</c:v>
                </c:pt>
                <c:pt idx="22">
                  <c:v>0.1363</c:v>
                </c:pt>
                <c:pt idx="23">
                  <c:v>0.13900000000000001</c:v>
                </c:pt>
                <c:pt idx="24">
                  <c:v>0.1384</c:v>
                </c:pt>
                <c:pt idx="25">
                  <c:v>0.14000000000000001</c:v>
                </c:pt>
                <c:pt idx="26">
                  <c:v>0.1358</c:v>
                </c:pt>
                <c:pt idx="27">
                  <c:v>0.13669999999999999</c:v>
                </c:pt>
                <c:pt idx="28">
                  <c:v>0.13730000000000001</c:v>
                </c:pt>
                <c:pt idx="29">
                  <c:v>0.1348</c:v>
                </c:pt>
                <c:pt idx="30">
                  <c:v>0.13400000000000001</c:v>
                </c:pt>
                <c:pt idx="31">
                  <c:v>0.13619999999999999</c:v>
                </c:pt>
                <c:pt idx="32">
                  <c:v>0.1338</c:v>
                </c:pt>
                <c:pt idx="33">
                  <c:v>0.1336</c:v>
                </c:pt>
                <c:pt idx="34">
                  <c:v>0.1338</c:v>
                </c:pt>
                <c:pt idx="35">
                  <c:v>0.1371</c:v>
                </c:pt>
                <c:pt idx="36">
                  <c:v>0.13639999999999999</c:v>
                </c:pt>
                <c:pt idx="37">
                  <c:v>0.13569999999999999</c:v>
                </c:pt>
                <c:pt idx="38">
                  <c:v>0.1293</c:v>
                </c:pt>
                <c:pt idx="39">
                  <c:v>0.13400000000000001</c:v>
                </c:pt>
                <c:pt idx="40">
                  <c:v>0.1371</c:v>
                </c:pt>
                <c:pt idx="41">
                  <c:v>0.13420000000000001</c:v>
                </c:pt>
                <c:pt idx="42">
                  <c:v>0.1356</c:v>
                </c:pt>
                <c:pt idx="43">
                  <c:v>0.13450000000000001</c:v>
                </c:pt>
                <c:pt idx="44">
                  <c:v>0.12790000000000001</c:v>
                </c:pt>
                <c:pt idx="45">
                  <c:v>0.12889999999999999</c:v>
                </c:pt>
                <c:pt idx="46">
                  <c:v>0.12839999999999999</c:v>
                </c:pt>
                <c:pt idx="47">
                  <c:v>0.1293</c:v>
                </c:pt>
                <c:pt idx="48">
                  <c:v>0.12620000000000001</c:v>
                </c:pt>
                <c:pt idx="49">
                  <c:v>0.12759999999999999</c:v>
                </c:pt>
                <c:pt idx="50">
                  <c:v>0.12740000000000001</c:v>
                </c:pt>
                <c:pt idx="51">
                  <c:v>0.1265</c:v>
                </c:pt>
                <c:pt idx="52">
                  <c:v>0.12889999999999999</c:v>
                </c:pt>
                <c:pt idx="53">
                  <c:v>0.12559999999999999</c:v>
                </c:pt>
                <c:pt idx="54">
                  <c:v>0.12670000000000001</c:v>
                </c:pt>
                <c:pt idx="55">
                  <c:v>0.12770000000000001</c:v>
                </c:pt>
                <c:pt idx="56">
                  <c:v>0.12570000000000001</c:v>
                </c:pt>
                <c:pt idx="57">
                  <c:v>0.1242</c:v>
                </c:pt>
                <c:pt idx="58">
                  <c:v>0.12540000000000001</c:v>
                </c:pt>
                <c:pt idx="59">
                  <c:v>0.1221</c:v>
                </c:pt>
                <c:pt idx="60">
                  <c:v>0.1235</c:v>
                </c:pt>
                <c:pt idx="61">
                  <c:v>0.12520000000000001</c:v>
                </c:pt>
                <c:pt idx="62">
                  <c:v>0.12470000000000001</c:v>
                </c:pt>
                <c:pt idx="63">
                  <c:v>0.1227</c:v>
                </c:pt>
                <c:pt idx="64">
                  <c:v>0.1235</c:v>
                </c:pt>
                <c:pt idx="65">
                  <c:v>0.1234</c:v>
                </c:pt>
                <c:pt idx="66">
                  <c:v>0.1236</c:v>
                </c:pt>
                <c:pt idx="67">
                  <c:v>0.12130000000000001</c:v>
                </c:pt>
                <c:pt idx="68">
                  <c:v>0.1206</c:v>
                </c:pt>
                <c:pt idx="69">
                  <c:v>0.1205</c:v>
                </c:pt>
                <c:pt idx="70">
                  <c:v>0.1208</c:v>
                </c:pt>
                <c:pt idx="71">
                  <c:v>0.1198</c:v>
                </c:pt>
                <c:pt idx="72">
                  <c:v>0.11650000000000001</c:v>
                </c:pt>
                <c:pt idx="73">
                  <c:v>0.1174</c:v>
                </c:pt>
                <c:pt idx="74">
                  <c:v>0.11749999999999999</c:v>
                </c:pt>
                <c:pt idx="75">
                  <c:v>0.1164</c:v>
                </c:pt>
                <c:pt idx="76">
                  <c:v>0.11210000000000001</c:v>
                </c:pt>
                <c:pt idx="77">
                  <c:v>0.1114</c:v>
                </c:pt>
                <c:pt idx="78">
                  <c:v>0.1091</c:v>
                </c:pt>
                <c:pt idx="79">
                  <c:v>0.1113</c:v>
                </c:pt>
                <c:pt idx="80">
                  <c:v>0.114</c:v>
                </c:pt>
                <c:pt idx="81">
                  <c:v>0.11700000000000001</c:v>
                </c:pt>
                <c:pt idx="82">
                  <c:v>0.1169</c:v>
                </c:pt>
                <c:pt idx="83">
                  <c:v>0.11749999999999999</c:v>
                </c:pt>
                <c:pt idx="84">
                  <c:v>0.1169</c:v>
                </c:pt>
                <c:pt idx="85">
                  <c:v>0.11509999999999999</c:v>
                </c:pt>
                <c:pt idx="86">
                  <c:v>0.1132</c:v>
                </c:pt>
                <c:pt idx="87">
                  <c:v>0.11559999999999999</c:v>
                </c:pt>
                <c:pt idx="88">
                  <c:v>0.1129</c:v>
                </c:pt>
                <c:pt idx="89">
                  <c:v>0.11269999999999999</c:v>
                </c:pt>
                <c:pt idx="90">
                  <c:v>0.11219999999999999</c:v>
                </c:pt>
                <c:pt idx="91">
                  <c:v>0.11260000000000001</c:v>
                </c:pt>
                <c:pt idx="92">
                  <c:v>0.1152</c:v>
                </c:pt>
                <c:pt idx="93">
                  <c:v>0.11609999999999999</c:v>
                </c:pt>
                <c:pt idx="94">
                  <c:v>0.11559999999999999</c:v>
                </c:pt>
                <c:pt idx="95">
                  <c:v>0.1166</c:v>
                </c:pt>
                <c:pt idx="96">
                  <c:v>0.121</c:v>
                </c:pt>
                <c:pt idx="97">
                  <c:v>0.1215</c:v>
                </c:pt>
                <c:pt idx="98">
                  <c:v>0.1235</c:v>
                </c:pt>
                <c:pt idx="99">
                  <c:v>0.12379999999999999</c:v>
                </c:pt>
                <c:pt idx="100">
                  <c:v>0.1246</c:v>
                </c:pt>
                <c:pt idx="101">
                  <c:v>0.1246</c:v>
                </c:pt>
                <c:pt idx="102">
                  <c:v>0.126</c:v>
                </c:pt>
                <c:pt idx="103">
                  <c:v>0.12790000000000001</c:v>
                </c:pt>
                <c:pt idx="104">
                  <c:v>0.12520000000000001</c:v>
                </c:pt>
                <c:pt idx="105">
                  <c:v>0.11899999999999999</c:v>
                </c:pt>
                <c:pt idx="106">
                  <c:v>0.1202</c:v>
                </c:pt>
                <c:pt idx="107">
                  <c:v>0.122</c:v>
                </c:pt>
                <c:pt idx="108">
                  <c:v>0.1173</c:v>
                </c:pt>
                <c:pt idx="109">
                  <c:v>0.1225</c:v>
                </c:pt>
                <c:pt idx="110">
                  <c:v>0.1235</c:v>
                </c:pt>
                <c:pt idx="111">
                  <c:v>0.1235</c:v>
                </c:pt>
                <c:pt idx="112">
                  <c:v>0.12509999999999999</c:v>
                </c:pt>
                <c:pt idx="113">
                  <c:v>0.12230000000000001</c:v>
                </c:pt>
                <c:pt idx="114">
                  <c:v>0.1202</c:v>
                </c:pt>
                <c:pt idx="115">
                  <c:v>0.11990000000000001</c:v>
                </c:pt>
                <c:pt idx="116">
                  <c:v>0.11840000000000001</c:v>
                </c:pt>
                <c:pt idx="117">
                  <c:v>0.11890000000000001</c:v>
                </c:pt>
                <c:pt idx="118">
                  <c:v>0.1187</c:v>
                </c:pt>
                <c:pt idx="119">
                  <c:v>0.1205</c:v>
                </c:pt>
                <c:pt idx="120">
                  <c:v>0.12</c:v>
                </c:pt>
                <c:pt idx="121">
                  <c:v>0.12189999999999999</c:v>
                </c:pt>
                <c:pt idx="122">
                  <c:v>0.11849999999999999</c:v>
                </c:pt>
                <c:pt idx="123">
                  <c:v>0.121</c:v>
                </c:pt>
                <c:pt idx="124">
                  <c:v>0.1217</c:v>
                </c:pt>
                <c:pt idx="125">
                  <c:v>0.11559999999999999</c:v>
                </c:pt>
                <c:pt idx="126">
                  <c:v>0.1139</c:v>
                </c:pt>
                <c:pt idx="127">
                  <c:v>0.1148</c:v>
                </c:pt>
                <c:pt idx="128">
                  <c:v>0.11509999999999999</c:v>
                </c:pt>
                <c:pt idx="129">
                  <c:v>0.114</c:v>
                </c:pt>
                <c:pt idx="130">
                  <c:v>0.11409999999999999</c:v>
                </c:pt>
                <c:pt idx="131">
                  <c:v>0.1129</c:v>
                </c:pt>
                <c:pt idx="132">
                  <c:v>0.1108</c:v>
                </c:pt>
                <c:pt idx="133">
                  <c:v>0.1096</c:v>
                </c:pt>
                <c:pt idx="134">
                  <c:v>0.1114</c:v>
                </c:pt>
                <c:pt idx="135">
                  <c:v>0.1113</c:v>
                </c:pt>
                <c:pt idx="136">
                  <c:v>0.1108</c:v>
                </c:pt>
                <c:pt idx="137">
                  <c:v>0.10970000000000001</c:v>
                </c:pt>
                <c:pt idx="138">
                  <c:v>0.11119999999999999</c:v>
                </c:pt>
                <c:pt idx="139">
                  <c:v>0.1108</c:v>
                </c:pt>
                <c:pt idx="140">
                  <c:v>0.1119</c:v>
                </c:pt>
                <c:pt idx="141">
                  <c:v>0.1119</c:v>
                </c:pt>
                <c:pt idx="142">
                  <c:v>0.1103</c:v>
                </c:pt>
                <c:pt idx="143">
                  <c:v>0.10879999999999999</c:v>
                </c:pt>
                <c:pt idx="144">
                  <c:v>0.1082</c:v>
                </c:pt>
                <c:pt idx="145">
                  <c:v>0.1055</c:v>
                </c:pt>
                <c:pt idx="146">
                  <c:v>0.1048</c:v>
                </c:pt>
                <c:pt idx="147">
                  <c:v>0.10589999999999999</c:v>
                </c:pt>
                <c:pt idx="148">
                  <c:v>0.1085</c:v>
                </c:pt>
                <c:pt idx="149">
                  <c:v>0.10979999999999999</c:v>
                </c:pt>
                <c:pt idx="150">
                  <c:v>0.10879999999999999</c:v>
                </c:pt>
                <c:pt idx="151">
                  <c:v>0.1081</c:v>
                </c:pt>
                <c:pt idx="152">
                  <c:v>0.1084</c:v>
                </c:pt>
                <c:pt idx="153">
                  <c:v>0.10539999999999999</c:v>
                </c:pt>
                <c:pt idx="154">
                  <c:v>0.10299999999999999</c:v>
                </c:pt>
                <c:pt idx="155">
                  <c:v>0.10340000000000001</c:v>
                </c:pt>
                <c:pt idx="156">
                  <c:v>0.1023</c:v>
                </c:pt>
                <c:pt idx="157">
                  <c:v>0.10299999999999999</c:v>
                </c:pt>
                <c:pt idx="158">
                  <c:v>0.1018</c:v>
                </c:pt>
                <c:pt idx="159">
                  <c:v>0.1009</c:v>
                </c:pt>
                <c:pt idx="160">
                  <c:v>0.1017</c:v>
                </c:pt>
                <c:pt idx="161">
                  <c:v>0.1018</c:v>
                </c:pt>
                <c:pt idx="162">
                  <c:v>0.1012</c:v>
                </c:pt>
                <c:pt idx="163">
                  <c:v>0.1023</c:v>
                </c:pt>
                <c:pt idx="164">
                  <c:v>0.1051</c:v>
                </c:pt>
                <c:pt idx="165">
                  <c:v>0.1031</c:v>
                </c:pt>
                <c:pt idx="166">
                  <c:v>0.1037</c:v>
                </c:pt>
                <c:pt idx="167">
                  <c:v>0.1057</c:v>
                </c:pt>
                <c:pt idx="168">
                  <c:v>0.106</c:v>
                </c:pt>
                <c:pt idx="169">
                  <c:v>0.10639999999999999</c:v>
                </c:pt>
                <c:pt idx="170">
                  <c:v>0.1089</c:v>
                </c:pt>
                <c:pt idx="171">
                  <c:v>0.108</c:v>
                </c:pt>
                <c:pt idx="172">
                  <c:v>0.1101</c:v>
                </c:pt>
                <c:pt idx="173">
                  <c:v>0.112</c:v>
                </c:pt>
                <c:pt idx="174">
                  <c:v>0.1118</c:v>
                </c:pt>
                <c:pt idx="175">
                  <c:v>0.1167</c:v>
                </c:pt>
                <c:pt idx="176">
                  <c:v>0.1168</c:v>
                </c:pt>
                <c:pt idx="177">
                  <c:v>0.1116</c:v>
                </c:pt>
                <c:pt idx="178">
                  <c:v>0.10630000000000001</c:v>
                </c:pt>
                <c:pt idx="179">
                  <c:v>0.1052</c:v>
                </c:pt>
                <c:pt idx="180">
                  <c:v>0.1076</c:v>
                </c:pt>
                <c:pt idx="181">
                  <c:v>0.108</c:v>
                </c:pt>
                <c:pt idx="182">
                  <c:v>0.1084</c:v>
                </c:pt>
                <c:pt idx="183">
                  <c:v>0.1038</c:v>
                </c:pt>
                <c:pt idx="184">
                  <c:v>0.1052</c:v>
                </c:pt>
                <c:pt idx="185">
                  <c:v>0.10299999999999999</c:v>
                </c:pt>
                <c:pt idx="186">
                  <c:v>0.1057</c:v>
                </c:pt>
                <c:pt idx="187">
                  <c:v>0.1104</c:v>
                </c:pt>
                <c:pt idx="188">
                  <c:v>0.11609999999999999</c:v>
                </c:pt>
                <c:pt idx="189">
                  <c:v>0.1207</c:v>
                </c:pt>
                <c:pt idx="190">
                  <c:v>0.12230000000000001</c:v>
                </c:pt>
                <c:pt idx="191">
                  <c:v>0.12330000000000001</c:v>
                </c:pt>
                <c:pt idx="192">
                  <c:v>0.1263</c:v>
                </c:pt>
                <c:pt idx="193">
                  <c:v>0.12939999999999999</c:v>
                </c:pt>
                <c:pt idx="194">
                  <c:v>0.12970000000000001</c:v>
                </c:pt>
                <c:pt idx="195">
                  <c:v>0.1285</c:v>
                </c:pt>
                <c:pt idx="196">
                  <c:v>0.12920000000000001</c:v>
                </c:pt>
                <c:pt idx="197">
                  <c:v>0.13070000000000001</c:v>
                </c:pt>
                <c:pt idx="198">
                  <c:v>0.1343</c:v>
                </c:pt>
                <c:pt idx="199">
                  <c:v>0.13250000000000001</c:v>
                </c:pt>
                <c:pt idx="200">
                  <c:v>0.13730000000000001</c:v>
                </c:pt>
                <c:pt idx="201">
                  <c:v>0.13869999999999999</c:v>
                </c:pt>
                <c:pt idx="202">
                  <c:v>0.1389</c:v>
                </c:pt>
                <c:pt idx="203">
                  <c:v>0.13819999999999999</c:v>
                </c:pt>
                <c:pt idx="204">
                  <c:v>0.1381</c:v>
                </c:pt>
                <c:pt idx="205">
                  <c:v>0.1401</c:v>
                </c:pt>
                <c:pt idx="206">
                  <c:v>0.13969999999999999</c:v>
                </c:pt>
                <c:pt idx="207">
                  <c:v>0.1384</c:v>
                </c:pt>
                <c:pt idx="208">
                  <c:v>0.13500000000000001</c:v>
                </c:pt>
                <c:pt idx="209">
                  <c:v>0.13320000000000001</c:v>
                </c:pt>
                <c:pt idx="210">
                  <c:v>0.13189999999999999</c:v>
                </c:pt>
                <c:pt idx="211">
                  <c:v>0.13189999999999999</c:v>
                </c:pt>
                <c:pt idx="212">
                  <c:v>0.13439999999999999</c:v>
                </c:pt>
                <c:pt idx="213">
                  <c:v>0.13150000000000001</c:v>
                </c:pt>
                <c:pt idx="214">
                  <c:v>0.12959999999999999</c:v>
                </c:pt>
                <c:pt idx="215">
                  <c:v>0.13009999999999999</c:v>
                </c:pt>
                <c:pt idx="216">
                  <c:v>0.12839999999999999</c:v>
                </c:pt>
                <c:pt idx="217">
                  <c:v>0.1273</c:v>
                </c:pt>
                <c:pt idx="218">
                  <c:v>0.12939999999999999</c:v>
                </c:pt>
                <c:pt idx="219">
                  <c:v>0.12609999999999999</c:v>
                </c:pt>
                <c:pt idx="220">
                  <c:v>0.1265</c:v>
                </c:pt>
                <c:pt idx="221">
                  <c:v>0.1265</c:v>
                </c:pt>
                <c:pt idx="222">
                  <c:v>0.12690000000000001</c:v>
                </c:pt>
                <c:pt idx="223">
                  <c:v>0.128</c:v>
                </c:pt>
                <c:pt idx="224">
                  <c:v>0.1246</c:v>
                </c:pt>
                <c:pt idx="225">
                  <c:v>0.1268</c:v>
                </c:pt>
                <c:pt idx="226">
                  <c:v>0.12470000000000001</c:v>
                </c:pt>
                <c:pt idx="227">
                  <c:v>0.12479999999999999</c:v>
                </c:pt>
                <c:pt idx="228">
                  <c:v>0.1234</c:v>
                </c:pt>
                <c:pt idx="229">
                  <c:v>0.12839999999999999</c:v>
                </c:pt>
                <c:pt idx="230">
                  <c:v>0.12870000000000001</c:v>
                </c:pt>
                <c:pt idx="231">
                  <c:v>0.12839999999999999</c:v>
                </c:pt>
                <c:pt idx="232">
                  <c:v>0.12909999999999999</c:v>
                </c:pt>
                <c:pt idx="233">
                  <c:v>0.1275</c:v>
                </c:pt>
                <c:pt idx="234">
                  <c:v>0.12720000000000001</c:v>
                </c:pt>
                <c:pt idx="235">
                  <c:v>0.12640000000000001</c:v>
                </c:pt>
                <c:pt idx="236">
                  <c:v>0.12870000000000001</c:v>
                </c:pt>
                <c:pt idx="237">
                  <c:v>0.12720000000000001</c:v>
                </c:pt>
                <c:pt idx="238">
                  <c:v>0.1283</c:v>
                </c:pt>
                <c:pt idx="239">
                  <c:v>0.12740000000000001</c:v>
                </c:pt>
                <c:pt idx="240">
                  <c:v>0.1275</c:v>
                </c:pt>
                <c:pt idx="241">
                  <c:v>0.1265</c:v>
                </c:pt>
                <c:pt idx="242">
                  <c:v>0.1249</c:v>
                </c:pt>
                <c:pt idx="243">
                  <c:v>0.123</c:v>
                </c:pt>
                <c:pt idx="244">
                  <c:v>0.12470000000000001</c:v>
                </c:pt>
                <c:pt idx="245">
                  <c:v>0.12429999999999999</c:v>
                </c:pt>
                <c:pt idx="246">
                  <c:v>0.1234</c:v>
                </c:pt>
                <c:pt idx="247">
                  <c:v>0.124</c:v>
                </c:pt>
                <c:pt idx="248">
                  <c:v>0.1239</c:v>
                </c:pt>
                <c:pt idx="249">
                  <c:v>0.1225</c:v>
                </c:pt>
                <c:pt idx="250">
                  <c:v>0.1239</c:v>
                </c:pt>
                <c:pt idx="251">
                  <c:v>0.1203</c:v>
                </c:pt>
                <c:pt idx="252">
                  <c:v>0.1193</c:v>
                </c:pt>
                <c:pt idx="253">
                  <c:v>0.1169</c:v>
                </c:pt>
                <c:pt idx="254">
                  <c:v>0.1193</c:v>
                </c:pt>
                <c:pt idx="255">
                  <c:v>0.1265</c:v>
                </c:pt>
                <c:pt idx="256">
                  <c:v>0.12759999999999999</c:v>
                </c:pt>
                <c:pt idx="257">
                  <c:v>0.12870000000000001</c:v>
                </c:pt>
                <c:pt idx="258">
                  <c:v>0.12670000000000001</c:v>
                </c:pt>
                <c:pt idx="259">
                  <c:v>0.1278</c:v>
                </c:pt>
                <c:pt idx="260">
                  <c:v>0.1275</c:v>
                </c:pt>
                <c:pt idx="261">
                  <c:v>0.13159999999999999</c:v>
                </c:pt>
                <c:pt idx="262">
                  <c:v>0.13170000000000001</c:v>
                </c:pt>
                <c:pt idx="263">
                  <c:v>0.1285</c:v>
                </c:pt>
                <c:pt idx="264">
                  <c:v>0.1303</c:v>
                </c:pt>
                <c:pt idx="265">
                  <c:v>0.1293</c:v>
                </c:pt>
                <c:pt idx="266">
                  <c:v>0.12970000000000001</c:v>
                </c:pt>
                <c:pt idx="267">
                  <c:v>0.1298</c:v>
                </c:pt>
                <c:pt idx="268">
                  <c:v>0.1244</c:v>
                </c:pt>
                <c:pt idx="269">
                  <c:v>0.12790000000000001</c:v>
                </c:pt>
                <c:pt idx="270">
                  <c:v>0.12690000000000001</c:v>
                </c:pt>
                <c:pt idx="271">
                  <c:v>0.12529999999999999</c:v>
                </c:pt>
                <c:pt idx="272">
                  <c:v>0.1273</c:v>
                </c:pt>
                <c:pt idx="273">
                  <c:v>0.126</c:v>
                </c:pt>
                <c:pt idx="274">
                  <c:v>0.1285</c:v>
                </c:pt>
                <c:pt idx="275">
                  <c:v>0.12820000000000001</c:v>
                </c:pt>
                <c:pt idx="276">
                  <c:v>0.129</c:v>
                </c:pt>
                <c:pt idx="277">
                  <c:v>0.1273</c:v>
                </c:pt>
                <c:pt idx="278">
                  <c:v>0.12709999999999999</c:v>
                </c:pt>
                <c:pt idx="279">
                  <c:v>0.12670000000000001</c:v>
                </c:pt>
                <c:pt idx="280">
                  <c:v>0.1285</c:v>
                </c:pt>
                <c:pt idx="281">
                  <c:v>0.1275</c:v>
                </c:pt>
                <c:pt idx="282">
                  <c:v>0.12609999999999999</c:v>
                </c:pt>
                <c:pt idx="283">
                  <c:v>0.13139999999999999</c:v>
                </c:pt>
                <c:pt idx="284">
                  <c:v>0.13350000000000001</c:v>
                </c:pt>
                <c:pt idx="285">
                  <c:v>0.13439999999999999</c:v>
                </c:pt>
                <c:pt idx="286">
                  <c:v>0.13239999999999999</c:v>
                </c:pt>
                <c:pt idx="287">
                  <c:v>0.13370000000000001</c:v>
                </c:pt>
                <c:pt idx="288">
                  <c:v>0.1308</c:v>
                </c:pt>
                <c:pt idx="289">
                  <c:v>0.12870000000000001</c:v>
                </c:pt>
                <c:pt idx="290">
                  <c:v>0.1295</c:v>
                </c:pt>
                <c:pt idx="291">
                  <c:v>0.12770000000000001</c:v>
                </c:pt>
                <c:pt idx="292">
                  <c:v>0.12620000000000001</c:v>
                </c:pt>
                <c:pt idx="293">
                  <c:v>0.1236</c:v>
                </c:pt>
                <c:pt idx="294">
                  <c:v>0.1244</c:v>
                </c:pt>
                <c:pt idx="295">
                  <c:v>0.1216</c:v>
                </c:pt>
                <c:pt idx="296">
                  <c:v>0.12139999999999999</c:v>
                </c:pt>
                <c:pt idx="297">
                  <c:v>0.12180000000000001</c:v>
                </c:pt>
                <c:pt idx="298">
                  <c:v>0.1229</c:v>
                </c:pt>
                <c:pt idx="299">
                  <c:v>0.12330000000000001</c:v>
                </c:pt>
                <c:pt idx="300">
                  <c:v>0.1236</c:v>
                </c:pt>
                <c:pt idx="301">
                  <c:v>0.1241</c:v>
                </c:pt>
                <c:pt idx="302">
                  <c:v>0.12520000000000001</c:v>
                </c:pt>
                <c:pt idx="303">
                  <c:v>0.12839999999999999</c:v>
                </c:pt>
                <c:pt idx="304">
                  <c:v>0.1278</c:v>
                </c:pt>
                <c:pt idx="305">
                  <c:v>0.12740000000000001</c:v>
                </c:pt>
                <c:pt idx="306">
                  <c:v>0.125</c:v>
                </c:pt>
                <c:pt idx="307">
                  <c:v>0.12570000000000001</c:v>
                </c:pt>
                <c:pt idx="308">
                  <c:v>0.12479999999999999</c:v>
                </c:pt>
                <c:pt idx="309">
                  <c:v>0.12590000000000001</c:v>
                </c:pt>
                <c:pt idx="310">
                  <c:v>0.1258</c:v>
                </c:pt>
                <c:pt idx="311">
                  <c:v>0.12529999999999999</c:v>
                </c:pt>
                <c:pt idx="312">
                  <c:v>0.12529999999999999</c:v>
                </c:pt>
                <c:pt idx="313">
                  <c:v>0.12670000000000001</c:v>
                </c:pt>
                <c:pt idx="314">
                  <c:v>0.12659999999999999</c:v>
                </c:pt>
                <c:pt idx="315">
                  <c:v>0.1242</c:v>
                </c:pt>
                <c:pt idx="316">
                  <c:v>0.12709999999999999</c:v>
                </c:pt>
                <c:pt idx="317">
                  <c:v>0.12759999999999999</c:v>
                </c:pt>
                <c:pt idx="318">
                  <c:v>0.12570000000000001</c:v>
                </c:pt>
                <c:pt idx="319">
                  <c:v>0.1278</c:v>
                </c:pt>
                <c:pt idx="320">
                  <c:v>0.12809999999999999</c:v>
                </c:pt>
                <c:pt idx="321">
                  <c:v>0.12659999999999999</c:v>
                </c:pt>
                <c:pt idx="322">
                  <c:v>0.12770000000000001</c:v>
                </c:pt>
                <c:pt idx="323">
                  <c:v>0.12659999999999999</c:v>
                </c:pt>
                <c:pt idx="324">
                  <c:v>0.12509999999999999</c:v>
                </c:pt>
                <c:pt idx="325">
                  <c:v>0.1235</c:v>
                </c:pt>
                <c:pt idx="326">
                  <c:v>0.12759999999999999</c:v>
                </c:pt>
                <c:pt idx="327">
                  <c:v>0.12540000000000001</c:v>
                </c:pt>
                <c:pt idx="328">
                  <c:v>0.127</c:v>
                </c:pt>
                <c:pt idx="329">
                  <c:v>0.1268</c:v>
                </c:pt>
                <c:pt idx="330">
                  <c:v>0.12429999999999999</c:v>
                </c:pt>
                <c:pt idx="331">
                  <c:v>0.1242</c:v>
                </c:pt>
                <c:pt idx="332">
                  <c:v>0.1205</c:v>
                </c:pt>
                <c:pt idx="333">
                  <c:v>0.1227</c:v>
                </c:pt>
                <c:pt idx="334">
                  <c:v>0.1221</c:v>
                </c:pt>
                <c:pt idx="335">
                  <c:v>0.12230000000000001</c:v>
                </c:pt>
                <c:pt idx="336">
                  <c:v>0.1201</c:v>
                </c:pt>
                <c:pt idx="337">
                  <c:v>0.1188</c:v>
                </c:pt>
                <c:pt idx="338">
                  <c:v>0.1195</c:v>
                </c:pt>
                <c:pt idx="339">
                  <c:v>0.11650000000000001</c:v>
                </c:pt>
                <c:pt idx="340">
                  <c:v>0.1178</c:v>
                </c:pt>
                <c:pt idx="341">
                  <c:v>0.1172</c:v>
                </c:pt>
                <c:pt idx="342">
                  <c:v>0.11840000000000001</c:v>
                </c:pt>
                <c:pt idx="343">
                  <c:v>0.11940000000000001</c:v>
                </c:pt>
                <c:pt idx="344">
                  <c:v>0.11849999999999999</c:v>
                </c:pt>
                <c:pt idx="345">
                  <c:v>0.1178</c:v>
                </c:pt>
                <c:pt idx="346">
                  <c:v>0.11550000000000001</c:v>
                </c:pt>
                <c:pt idx="347">
                  <c:v>0.1162</c:v>
                </c:pt>
                <c:pt idx="348">
                  <c:v>0.1181</c:v>
                </c:pt>
                <c:pt idx="349">
                  <c:v>0.1162</c:v>
                </c:pt>
                <c:pt idx="350">
                  <c:v>0.1157</c:v>
                </c:pt>
                <c:pt idx="351">
                  <c:v>0.1166</c:v>
                </c:pt>
                <c:pt idx="352">
                  <c:v>0.1166</c:v>
                </c:pt>
                <c:pt idx="353">
                  <c:v>0.11749999999999999</c:v>
                </c:pt>
                <c:pt idx="354">
                  <c:v>0.1187</c:v>
                </c:pt>
                <c:pt idx="355">
                  <c:v>0.1176</c:v>
                </c:pt>
                <c:pt idx="356">
                  <c:v>0.121</c:v>
                </c:pt>
                <c:pt idx="357">
                  <c:v>0.12189999999999999</c:v>
                </c:pt>
                <c:pt idx="358">
                  <c:v>0.1242</c:v>
                </c:pt>
                <c:pt idx="359">
                  <c:v>0.1221</c:v>
                </c:pt>
                <c:pt idx="360">
                  <c:v>0.12509999999999999</c:v>
                </c:pt>
                <c:pt idx="361">
                  <c:v>0.125</c:v>
                </c:pt>
                <c:pt idx="362">
                  <c:v>0.124</c:v>
                </c:pt>
                <c:pt idx="363">
                  <c:v>0.12540000000000001</c:v>
                </c:pt>
                <c:pt idx="364">
                  <c:v>0.12620000000000001</c:v>
                </c:pt>
                <c:pt idx="365">
                  <c:v>0.1275</c:v>
                </c:pt>
                <c:pt idx="366">
                  <c:v>0.1275</c:v>
                </c:pt>
                <c:pt idx="367">
                  <c:v>0.12659999999999999</c:v>
                </c:pt>
                <c:pt idx="368">
                  <c:v>0.12609999999999999</c:v>
                </c:pt>
                <c:pt idx="369">
                  <c:v>0.125</c:v>
                </c:pt>
                <c:pt idx="370">
                  <c:v>0.12429999999999999</c:v>
                </c:pt>
                <c:pt idx="371">
                  <c:v>0.1222</c:v>
                </c:pt>
                <c:pt idx="372">
                  <c:v>0.1227</c:v>
                </c:pt>
                <c:pt idx="373">
                  <c:v>0.12379999999999999</c:v>
                </c:pt>
                <c:pt idx="374">
                  <c:v>0.1215</c:v>
                </c:pt>
                <c:pt idx="375">
                  <c:v>0.1268</c:v>
                </c:pt>
                <c:pt idx="376">
                  <c:v>0.12559999999999999</c:v>
                </c:pt>
                <c:pt idx="377">
                  <c:v>0.12570000000000001</c:v>
                </c:pt>
                <c:pt idx="378">
                  <c:v>0.1235</c:v>
                </c:pt>
                <c:pt idx="379">
                  <c:v>0.12540000000000001</c:v>
                </c:pt>
                <c:pt idx="380">
                  <c:v>0.12540000000000001</c:v>
                </c:pt>
                <c:pt idx="381">
                  <c:v>0.1236</c:v>
                </c:pt>
                <c:pt idx="382">
                  <c:v>0.1245</c:v>
                </c:pt>
                <c:pt idx="383">
                  <c:v>0.1235</c:v>
                </c:pt>
                <c:pt idx="384">
                  <c:v>0.125</c:v>
                </c:pt>
                <c:pt idx="385">
                  <c:v>0.12379999999999999</c:v>
                </c:pt>
                <c:pt idx="386">
                  <c:v>0.123</c:v>
                </c:pt>
                <c:pt idx="387">
                  <c:v>0.1206</c:v>
                </c:pt>
                <c:pt idx="388">
                  <c:v>0.11990000000000001</c:v>
                </c:pt>
                <c:pt idx="389">
                  <c:v>0.1179</c:v>
                </c:pt>
                <c:pt idx="390">
                  <c:v>0.11550000000000001</c:v>
                </c:pt>
                <c:pt idx="391">
                  <c:v>0.1159</c:v>
                </c:pt>
                <c:pt idx="392">
                  <c:v>0.11559999999999999</c:v>
                </c:pt>
                <c:pt idx="393">
                  <c:v>0.1198</c:v>
                </c:pt>
                <c:pt idx="394">
                  <c:v>0.1206</c:v>
                </c:pt>
                <c:pt idx="395">
                  <c:v>0.12</c:v>
                </c:pt>
                <c:pt idx="396">
                  <c:v>0.1202</c:v>
                </c:pt>
                <c:pt idx="397">
                  <c:v>0.1207</c:v>
                </c:pt>
                <c:pt idx="398">
                  <c:v>0.1215</c:v>
                </c:pt>
                <c:pt idx="399">
                  <c:v>0.1221</c:v>
                </c:pt>
                <c:pt idx="400">
                  <c:v>0.1212</c:v>
                </c:pt>
                <c:pt idx="401">
                  <c:v>0.1202</c:v>
                </c:pt>
                <c:pt idx="402">
                  <c:v>0.1182</c:v>
                </c:pt>
                <c:pt idx="403">
                  <c:v>0.1173</c:v>
                </c:pt>
                <c:pt idx="404">
                  <c:v>0.1134</c:v>
                </c:pt>
                <c:pt idx="405">
                  <c:v>0.1143</c:v>
                </c:pt>
                <c:pt idx="406">
                  <c:v>0.1186</c:v>
                </c:pt>
                <c:pt idx="407">
                  <c:v>0.11559999999999999</c:v>
                </c:pt>
                <c:pt idx="408">
                  <c:v>0.1172</c:v>
                </c:pt>
                <c:pt idx="409">
                  <c:v>0.11609999999999999</c:v>
                </c:pt>
                <c:pt idx="410">
                  <c:v>0.1163</c:v>
                </c:pt>
                <c:pt idx="411">
                  <c:v>0.1164</c:v>
                </c:pt>
                <c:pt idx="412">
                  <c:v>0.1147</c:v>
                </c:pt>
                <c:pt idx="413">
                  <c:v>0.1144</c:v>
                </c:pt>
                <c:pt idx="414">
                  <c:v>0.1139</c:v>
                </c:pt>
                <c:pt idx="415">
                  <c:v>0.1158</c:v>
                </c:pt>
                <c:pt idx="416">
                  <c:v>0.1147</c:v>
                </c:pt>
                <c:pt idx="417">
                  <c:v>0.1143</c:v>
                </c:pt>
                <c:pt idx="418">
                  <c:v>0.1124</c:v>
                </c:pt>
                <c:pt idx="419">
                  <c:v>0.1137</c:v>
                </c:pt>
                <c:pt idx="420">
                  <c:v>0.11210000000000001</c:v>
                </c:pt>
                <c:pt idx="421">
                  <c:v>0.1114</c:v>
                </c:pt>
                <c:pt idx="422">
                  <c:v>0.1114</c:v>
                </c:pt>
                <c:pt idx="423">
                  <c:v>0.1119</c:v>
                </c:pt>
                <c:pt idx="424">
                  <c:v>0.1101</c:v>
                </c:pt>
                <c:pt idx="425">
                  <c:v>0.10970000000000001</c:v>
                </c:pt>
                <c:pt idx="426">
                  <c:v>0.11020000000000001</c:v>
                </c:pt>
                <c:pt idx="427">
                  <c:v>0.10920000000000001</c:v>
                </c:pt>
                <c:pt idx="428">
                  <c:v>0.10879999999999999</c:v>
                </c:pt>
                <c:pt idx="429">
                  <c:v>0.1081</c:v>
                </c:pt>
                <c:pt idx="430">
                  <c:v>0.1076</c:v>
                </c:pt>
                <c:pt idx="431">
                  <c:v>0.1089</c:v>
                </c:pt>
                <c:pt idx="432">
                  <c:v>0.1109</c:v>
                </c:pt>
                <c:pt idx="433">
                  <c:v>0.1094</c:v>
                </c:pt>
                <c:pt idx="434">
                  <c:v>0.11</c:v>
                </c:pt>
                <c:pt idx="435">
                  <c:v>0.1099</c:v>
                </c:pt>
                <c:pt idx="436">
                  <c:v>0.1109</c:v>
                </c:pt>
                <c:pt idx="437">
                  <c:v>0.11219999999999999</c:v>
                </c:pt>
                <c:pt idx="438">
                  <c:v>0.115</c:v>
                </c:pt>
                <c:pt idx="439">
                  <c:v>0.1197</c:v>
                </c:pt>
                <c:pt idx="440">
                  <c:v>0.1203</c:v>
                </c:pt>
                <c:pt idx="441">
                  <c:v>0.12180000000000001</c:v>
                </c:pt>
                <c:pt idx="442">
                  <c:v>0.125</c:v>
                </c:pt>
                <c:pt idx="443">
                  <c:v>0.1288</c:v>
                </c:pt>
                <c:pt idx="444">
                  <c:v>0.12889999999999999</c:v>
                </c:pt>
                <c:pt idx="445">
                  <c:v>0.12740000000000001</c:v>
                </c:pt>
                <c:pt idx="446">
                  <c:v>0.12759999999999999</c:v>
                </c:pt>
                <c:pt idx="447">
                  <c:v>0.12520000000000001</c:v>
                </c:pt>
                <c:pt idx="448">
                  <c:v>0.1246</c:v>
                </c:pt>
                <c:pt idx="449">
                  <c:v>0.1241</c:v>
                </c:pt>
                <c:pt idx="450">
                  <c:v>0.1241</c:v>
                </c:pt>
                <c:pt idx="451">
                  <c:v>0.1241</c:v>
                </c:pt>
                <c:pt idx="452">
                  <c:v>0.12520000000000001</c:v>
                </c:pt>
                <c:pt idx="453">
                  <c:v>0.12590000000000001</c:v>
                </c:pt>
                <c:pt idx="454">
                  <c:v>0.1235</c:v>
                </c:pt>
                <c:pt idx="455">
                  <c:v>0.12239999999999999</c:v>
                </c:pt>
                <c:pt idx="456">
                  <c:v>0.1232</c:v>
                </c:pt>
                <c:pt idx="457">
                  <c:v>0.1227</c:v>
                </c:pt>
                <c:pt idx="458">
                  <c:v>0.12180000000000001</c:v>
                </c:pt>
                <c:pt idx="459">
                  <c:v>0.1215</c:v>
                </c:pt>
                <c:pt idx="460">
                  <c:v>0.123</c:v>
                </c:pt>
                <c:pt idx="461">
                  <c:v>0.1235</c:v>
                </c:pt>
                <c:pt idx="462">
                  <c:v>0.12540000000000001</c:v>
                </c:pt>
                <c:pt idx="463">
                  <c:v>0.1234</c:v>
                </c:pt>
                <c:pt idx="464">
                  <c:v>0.1241</c:v>
                </c:pt>
                <c:pt idx="465">
                  <c:v>0.12479999999999999</c:v>
                </c:pt>
                <c:pt idx="466">
                  <c:v>0.12479999999999999</c:v>
                </c:pt>
                <c:pt idx="467">
                  <c:v>0.12509999999999999</c:v>
                </c:pt>
                <c:pt idx="468">
                  <c:v>0.12709999999999999</c:v>
                </c:pt>
                <c:pt idx="469">
                  <c:v>0.12559999999999999</c:v>
                </c:pt>
                <c:pt idx="470">
                  <c:v>0.1239</c:v>
                </c:pt>
                <c:pt idx="471">
                  <c:v>0.12570000000000001</c:v>
                </c:pt>
                <c:pt idx="472">
                  <c:v>0.12570000000000001</c:v>
                </c:pt>
                <c:pt idx="473">
                  <c:v>0.12590000000000001</c:v>
                </c:pt>
                <c:pt idx="474">
                  <c:v>0.1285</c:v>
                </c:pt>
                <c:pt idx="475">
                  <c:v>0.12809999999999999</c:v>
                </c:pt>
                <c:pt idx="476">
                  <c:v>0.1273</c:v>
                </c:pt>
                <c:pt idx="477">
                  <c:v>0.12759999999999999</c:v>
                </c:pt>
                <c:pt idx="478">
                  <c:v>0.12690000000000001</c:v>
                </c:pt>
                <c:pt idx="479">
                  <c:v>0.1275</c:v>
                </c:pt>
                <c:pt idx="480">
                  <c:v>0.12609999999999999</c:v>
                </c:pt>
                <c:pt idx="481">
                  <c:v>0.1283</c:v>
                </c:pt>
                <c:pt idx="482">
                  <c:v>0.12820000000000001</c:v>
                </c:pt>
                <c:pt idx="483">
                  <c:v>0.1278</c:v>
                </c:pt>
                <c:pt idx="484">
                  <c:v>0.12790000000000001</c:v>
                </c:pt>
                <c:pt idx="485">
                  <c:v>0.12790000000000001</c:v>
                </c:pt>
                <c:pt idx="486">
                  <c:v>0.12939999999999999</c:v>
                </c:pt>
                <c:pt idx="487">
                  <c:v>0.1275</c:v>
                </c:pt>
                <c:pt idx="488">
                  <c:v>0.12859999999999999</c:v>
                </c:pt>
                <c:pt idx="489">
                  <c:v>0.13059999999999999</c:v>
                </c:pt>
                <c:pt idx="490">
                  <c:v>0.1308</c:v>
                </c:pt>
                <c:pt idx="491">
                  <c:v>0.1318</c:v>
                </c:pt>
                <c:pt idx="492">
                  <c:v>0.1338</c:v>
                </c:pt>
                <c:pt idx="493">
                  <c:v>0.1346</c:v>
                </c:pt>
                <c:pt idx="494">
                  <c:v>0.13420000000000001</c:v>
                </c:pt>
                <c:pt idx="495">
                  <c:v>0.13519999999999999</c:v>
                </c:pt>
                <c:pt idx="496">
                  <c:v>0.13500000000000001</c:v>
                </c:pt>
                <c:pt idx="497">
                  <c:v>0.13289999999999999</c:v>
                </c:pt>
                <c:pt idx="498">
                  <c:v>0.13270000000000001</c:v>
                </c:pt>
                <c:pt idx="499">
                  <c:v>0.1343</c:v>
                </c:pt>
                <c:pt idx="500">
                  <c:v>0.13550000000000001</c:v>
                </c:pt>
                <c:pt idx="501">
                  <c:v>0.13539999999999999</c:v>
                </c:pt>
                <c:pt idx="502">
                  <c:v>0.13450000000000001</c:v>
                </c:pt>
                <c:pt idx="503">
                  <c:v>0.13370000000000001</c:v>
                </c:pt>
                <c:pt idx="504">
                  <c:v>0.13439999999999999</c:v>
                </c:pt>
                <c:pt idx="505">
                  <c:v>0.13539999999999999</c:v>
                </c:pt>
                <c:pt idx="506">
                  <c:v>0.1353</c:v>
                </c:pt>
                <c:pt idx="507">
                  <c:v>0.13420000000000001</c:v>
                </c:pt>
                <c:pt idx="508">
                  <c:v>0.1313</c:v>
                </c:pt>
                <c:pt idx="509">
                  <c:v>0.1331</c:v>
                </c:pt>
                <c:pt idx="510">
                  <c:v>0.13730000000000001</c:v>
                </c:pt>
                <c:pt idx="511">
                  <c:v>0.13589999999999999</c:v>
                </c:pt>
                <c:pt idx="512">
                  <c:v>0.13469999999999999</c:v>
                </c:pt>
                <c:pt idx="513">
                  <c:v>0.1371</c:v>
                </c:pt>
                <c:pt idx="514">
                  <c:v>0.14069999999999999</c:v>
                </c:pt>
                <c:pt idx="515">
                  <c:v>0.1416</c:v>
                </c:pt>
                <c:pt idx="516">
                  <c:v>0.14319999999999999</c:v>
                </c:pt>
                <c:pt idx="517">
                  <c:v>0.1452</c:v>
                </c:pt>
                <c:pt idx="518">
                  <c:v>0.14430000000000001</c:v>
                </c:pt>
                <c:pt idx="519">
                  <c:v>0.14449999999999999</c:v>
                </c:pt>
                <c:pt idx="520">
                  <c:v>0.14449999999999999</c:v>
                </c:pt>
                <c:pt idx="521">
                  <c:v>0.14549999999999999</c:v>
                </c:pt>
                <c:pt idx="522">
                  <c:v>0.14660000000000001</c:v>
                </c:pt>
                <c:pt idx="523">
                  <c:v>0.1457</c:v>
                </c:pt>
                <c:pt idx="524">
                  <c:v>0.1439</c:v>
                </c:pt>
                <c:pt idx="525">
                  <c:v>0.1421</c:v>
                </c:pt>
                <c:pt idx="526">
                  <c:v>0.1454</c:v>
                </c:pt>
                <c:pt idx="527">
                  <c:v>0.1449</c:v>
                </c:pt>
                <c:pt idx="528">
                  <c:v>0.1459</c:v>
                </c:pt>
                <c:pt idx="529">
                  <c:v>0.14610000000000001</c:v>
                </c:pt>
                <c:pt idx="530">
                  <c:v>0.1489</c:v>
                </c:pt>
                <c:pt idx="531">
                  <c:v>0.14710000000000001</c:v>
                </c:pt>
                <c:pt idx="532">
                  <c:v>0.14729999999999999</c:v>
                </c:pt>
                <c:pt idx="533">
                  <c:v>0.1474</c:v>
                </c:pt>
                <c:pt idx="534">
                  <c:v>0.1492</c:v>
                </c:pt>
                <c:pt idx="535">
                  <c:v>0.15040000000000001</c:v>
                </c:pt>
                <c:pt idx="536">
                  <c:v>0.15409999999999999</c:v>
                </c:pt>
                <c:pt idx="537">
                  <c:v>0.1578</c:v>
                </c:pt>
                <c:pt idx="538">
                  <c:v>0.15160000000000001</c:v>
                </c:pt>
                <c:pt idx="539">
                  <c:v>0.15060000000000001</c:v>
                </c:pt>
                <c:pt idx="540">
                  <c:v>0.15060000000000001</c:v>
                </c:pt>
                <c:pt idx="541">
                  <c:v>0.15279999999999999</c:v>
                </c:pt>
                <c:pt idx="542">
                  <c:v>0.15579999999999999</c:v>
                </c:pt>
                <c:pt idx="543">
                  <c:v>0.154</c:v>
                </c:pt>
                <c:pt idx="544">
                  <c:v>0.15590000000000001</c:v>
                </c:pt>
                <c:pt idx="545">
                  <c:v>0.1527</c:v>
                </c:pt>
                <c:pt idx="546">
                  <c:v>0.1507</c:v>
                </c:pt>
                <c:pt idx="547">
                  <c:v>0.1469</c:v>
                </c:pt>
                <c:pt idx="548">
                  <c:v>0.14280000000000001</c:v>
                </c:pt>
                <c:pt idx="549">
                  <c:v>0.14199999999999999</c:v>
                </c:pt>
                <c:pt idx="550">
                  <c:v>0.1381</c:v>
                </c:pt>
                <c:pt idx="551">
                  <c:v>0.1376</c:v>
                </c:pt>
                <c:pt idx="552">
                  <c:v>0.13469999999999999</c:v>
                </c:pt>
                <c:pt idx="553">
                  <c:v>0.13420000000000001</c:v>
                </c:pt>
                <c:pt idx="554">
                  <c:v>0.13020000000000001</c:v>
                </c:pt>
                <c:pt idx="555">
                  <c:v>0.12609999999999999</c:v>
                </c:pt>
                <c:pt idx="556">
                  <c:v>0.12590000000000001</c:v>
                </c:pt>
                <c:pt idx="557">
                  <c:v>0.1226</c:v>
                </c:pt>
                <c:pt idx="558">
                  <c:v>0.1162</c:v>
                </c:pt>
                <c:pt idx="559">
                  <c:v>0.11700000000000001</c:v>
                </c:pt>
                <c:pt idx="560">
                  <c:v>0.1109</c:v>
                </c:pt>
                <c:pt idx="561">
                  <c:v>0.1089</c:v>
                </c:pt>
                <c:pt idx="562">
                  <c:v>0.1067</c:v>
                </c:pt>
                <c:pt idx="563">
                  <c:v>0.10589999999999999</c:v>
                </c:pt>
                <c:pt idx="564">
                  <c:v>0.1091</c:v>
                </c:pt>
                <c:pt idx="565">
                  <c:v>0.1104</c:v>
                </c:pt>
                <c:pt idx="566">
                  <c:v>0.11269999999999999</c:v>
                </c:pt>
                <c:pt idx="567">
                  <c:v>0.11409999999999999</c:v>
                </c:pt>
                <c:pt idx="568">
                  <c:v>0.1133</c:v>
                </c:pt>
                <c:pt idx="569">
                  <c:v>0.111</c:v>
                </c:pt>
                <c:pt idx="570">
                  <c:v>0.10730000000000001</c:v>
                </c:pt>
                <c:pt idx="571">
                  <c:v>0.1042</c:v>
                </c:pt>
                <c:pt idx="572">
                  <c:v>0.1004</c:v>
                </c:pt>
                <c:pt idx="573">
                  <c:v>0.10290000000000001</c:v>
                </c:pt>
                <c:pt idx="574">
                  <c:v>0.1031</c:v>
                </c:pt>
                <c:pt idx="575">
                  <c:v>0.1045</c:v>
                </c:pt>
                <c:pt idx="576">
                  <c:v>0.1038</c:v>
                </c:pt>
                <c:pt idx="577">
                  <c:v>0.1037</c:v>
                </c:pt>
                <c:pt idx="578">
                  <c:v>0.1043</c:v>
                </c:pt>
                <c:pt idx="579">
                  <c:v>0.1017</c:v>
                </c:pt>
                <c:pt idx="580">
                  <c:v>0.10050000000000001</c:v>
                </c:pt>
                <c:pt idx="581">
                  <c:v>0.1016</c:v>
                </c:pt>
                <c:pt idx="582">
                  <c:v>0.1016</c:v>
                </c:pt>
                <c:pt idx="583">
                  <c:v>0.1037</c:v>
                </c:pt>
                <c:pt idx="584">
                  <c:v>0.10059999999999999</c:v>
                </c:pt>
                <c:pt idx="585">
                  <c:v>9.7500000000000003E-2</c:v>
                </c:pt>
                <c:pt idx="586">
                  <c:v>9.8299999999999998E-2</c:v>
                </c:pt>
                <c:pt idx="587">
                  <c:v>9.8400000000000001E-2</c:v>
                </c:pt>
                <c:pt idx="588">
                  <c:v>9.7299999999999998E-2</c:v>
                </c:pt>
                <c:pt idx="589">
                  <c:v>9.2399999999999996E-2</c:v>
                </c:pt>
                <c:pt idx="590">
                  <c:v>9.4100000000000003E-2</c:v>
                </c:pt>
                <c:pt idx="591">
                  <c:v>9.8599999999999993E-2</c:v>
                </c:pt>
                <c:pt idx="592">
                  <c:v>0.1037</c:v>
                </c:pt>
                <c:pt idx="593">
                  <c:v>0.10970000000000001</c:v>
                </c:pt>
                <c:pt idx="594">
                  <c:v>0.104</c:v>
                </c:pt>
                <c:pt idx="595">
                  <c:v>0.10780000000000001</c:v>
                </c:pt>
                <c:pt idx="596">
                  <c:v>0.1027</c:v>
                </c:pt>
                <c:pt idx="597">
                  <c:v>0.1033</c:v>
                </c:pt>
                <c:pt idx="598">
                  <c:v>0.10290000000000001</c:v>
                </c:pt>
                <c:pt idx="599">
                  <c:v>0.1012</c:v>
                </c:pt>
                <c:pt idx="600">
                  <c:v>0.10249999999999999</c:v>
                </c:pt>
                <c:pt idx="601">
                  <c:v>0.1026</c:v>
                </c:pt>
                <c:pt idx="602">
                  <c:v>0.1046</c:v>
                </c:pt>
                <c:pt idx="603">
                  <c:v>0.1038</c:v>
                </c:pt>
                <c:pt idx="604">
                  <c:v>0.108</c:v>
                </c:pt>
                <c:pt idx="605">
                  <c:v>0.1085</c:v>
                </c:pt>
                <c:pt idx="606">
                  <c:v>0.1119</c:v>
                </c:pt>
                <c:pt idx="607">
                  <c:v>0.10979999999999999</c:v>
                </c:pt>
                <c:pt idx="608">
                  <c:v>0.10929999999999999</c:v>
                </c:pt>
                <c:pt idx="609">
                  <c:v>0.10929999999999999</c:v>
                </c:pt>
                <c:pt idx="610">
                  <c:v>0.1105</c:v>
                </c:pt>
                <c:pt idx="611">
                  <c:v>0.108</c:v>
                </c:pt>
                <c:pt idx="612">
                  <c:v>0.108</c:v>
                </c:pt>
                <c:pt idx="613">
                  <c:v>0.1091</c:v>
                </c:pt>
                <c:pt idx="614">
                  <c:v>0.11</c:v>
                </c:pt>
                <c:pt idx="615">
                  <c:v>0.11219999999999999</c:v>
                </c:pt>
                <c:pt idx="616">
                  <c:v>0.1162</c:v>
                </c:pt>
                <c:pt idx="617">
                  <c:v>0.1173</c:v>
                </c:pt>
                <c:pt idx="618">
                  <c:v>0.1202</c:v>
                </c:pt>
                <c:pt idx="619">
                  <c:v>0.11940000000000001</c:v>
                </c:pt>
                <c:pt idx="620">
                  <c:v>0.12</c:v>
                </c:pt>
                <c:pt idx="621">
                  <c:v>0.12230000000000001</c:v>
                </c:pt>
                <c:pt idx="622">
                  <c:v>0.11940000000000001</c:v>
                </c:pt>
                <c:pt idx="623">
                  <c:v>0.1187</c:v>
                </c:pt>
                <c:pt idx="624">
                  <c:v>0.12039999999999999</c:v>
                </c:pt>
                <c:pt idx="625">
                  <c:v>0.12189999999999999</c:v>
                </c:pt>
                <c:pt idx="626">
                  <c:v>0.1211</c:v>
                </c:pt>
                <c:pt idx="627">
                  <c:v>0.11890000000000001</c:v>
                </c:pt>
                <c:pt idx="628">
                  <c:v>0.1205</c:v>
                </c:pt>
                <c:pt idx="629">
                  <c:v>0.1192</c:v>
                </c:pt>
                <c:pt idx="630">
                  <c:v>0.1179</c:v>
                </c:pt>
                <c:pt idx="631">
                  <c:v>0.11749999999999999</c:v>
                </c:pt>
                <c:pt idx="632">
                  <c:v>0.1183</c:v>
                </c:pt>
                <c:pt idx="633">
                  <c:v>0.1158</c:v>
                </c:pt>
                <c:pt idx="634">
                  <c:v>0.11749999999999999</c:v>
                </c:pt>
                <c:pt idx="635">
                  <c:v>0.11940000000000001</c:v>
                </c:pt>
                <c:pt idx="636">
                  <c:v>0.1217</c:v>
                </c:pt>
                <c:pt idx="637">
                  <c:v>0.12239999999999999</c:v>
                </c:pt>
                <c:pt idx="638">
                  <c:v>0.1193</c:v>
                </c:pt>
                <c:pt idx="639">
                  <c:v>0.12180000000000001</c:v>
                </c:pt>
                <c:pt idx="640">
                  <c:v>0.1208</c:v>
                </c:pt>
                <c:pt idx="641">
                  <c:v>0.11840000000000001</c:v>
                </c:pt>
                <c:pt idx="642">
                  <c:v>0.1176</c:v>
                </c:pt>
                <c:pt idx="643">
                  <c:v>0.1158</c:v>
                </c:pt>
                <c:pt idx="644">
                  <c:v>0.1132</c:v>
                </c:pt>
                <c:pt idx="645">
                  <c:v>0.1182</c:v>
                </c:pt>
                <c:pt idx="646">
                  <c:v>0.1179</c:v>
                </c:pt>
                <c:pt idx="647">
                  <c:v>0.1173</c:v>
                </c:pt>
                <c:pt idx="648">
                  <c:v>0.1172</c:v>
                </c:pt>
                <c:pt idx="649">
                  <c:v>0.1167</c:v>
                </c:pt>
                <c:pt idx="650">
                  <c:v>0.1186</c:v>
                </c:pt>
                <c:pt idx="651">
                  <c:v>0.1177</c:v>
                </c:pt>
                <c:pt idx="652">
                  <c:v>0.1149</c:v>
                </c:pt>
                <c:pt idx="653">
                  <c:v>0.1212</c:v>
                </c:pt>
                <c:pt idx="654">
                  <c:v>0.1201</c:v>
                </c:pt>
                <c:pt idx="655">
                  <c:v>0.1201</c:v>
                </c:pt>
                <c:pt idx="656">
                  <c:v>0.1211</c:v>
                </c:pt>
                <c:pt idx="657">
                  <c:v>0.12640000000000001</c:v>
                </c:pt>
                <c:pt idx="658">
                  <c:v>0.12720000000000001</c:v>
                </c:pt>
                <c:pt idx="659">
                  <c:v>0.1278</c:v>
                </c:pt>
                <c:pt idx="660">
                  <c:v>0.12540000000000001</c:v>
                </c:pt>
                <c:pt idx="661">
                  <c:v>0.12939999999999999</c:v>
                </c:pt>
                <c:pt idx="662">
                  <c:v>0.12670000000000001</c:v>
                </c:pt>
                <c:pt idx="663">
                  <c:v>0.1255</c:v>
                </c:pt>
                <c:pt idx="664">
                  <c:v>0.12740000000000001</c:v>
                </c:pt>
                <c:pt idx="665">
                  <c:v>0.12839999999999999</c:v>
                </c:pt>
                <c:pt idx="666">
                  <c:v>0.13109999999999999</c:v>
                </c:pt>
                <c:pt idx="667">
                  <c:v>0.13100000000000001</c:v>
                </c:pt>
                <c:pt idx="668">
                  <c:v>0.13059999999999999</c:v>
                </c:pt>
                <c:pt idx="669">
                  <c:v>0.12889999999999999</c:v>
                </c:pt>
                <c:pt idx="670">
                  <c:v>0.13239999999999999</c:v>
                </c:pt>
                <c:pt idx="671">
                  <c:v>0.13009999999999999</c:v>
                </c:pt>
                <c:pt idx="672">
                  <c:v>0.1283</c:v>
                </c:pt>
                <c:pt idx="673">
                  <c:v>0.12709999999999999</c:v>
                </c:pt>
                <c:pt idx="674">
                  <c:v>0.12759999999999999</c:v>
                </c:pt>
                <c:pt idx="675">
                  <c:v>0.1258</c:v>
                </c:pt>
                <c:pt idx="676">
                  <c:v>0.12770000000000001</c:v>
                </c:pt>
                <c:pt idx="677">
                  <c:v>0.126</c:v>
                </c:pt>
                <c:pt idx="678">
                  <c:v>0.12659999999999999</c:v>
                </c:pt>
                <c:pt idx="679">
                  <c:v>0.126</c:v>
                </c:pt>
                <c:pt idx="680">
                  <c:v>0.1244</c:v>
                </c:pt>
                <c:pt idx="681">
                  <c:v>0.1207</c:v>
                </c:pt>
                <c:pt idx="682">
                  <c:v>0.1193</c:v>
                </c:pt>
                <c:pt idx="683">
                  <c:v>0.1193</c:v>
                </c:pt>
                <c:pt idx="684">
                  <c:v>0.12039999999999999</c:v>
                </c:pt>
                <c:pt idx="685">
                  <c:v>0.1203</c:v>
                </c:pt>
                <c:pt idx="686">
                  <c:v>0.1191</c:v>
                </c:pt>
                <c:pt idx="687">
                  <c:v>0.1192</c:v>
                </c:pt>
                <c:pt idx="688">
                  <c:v>0.1176</c:v>
                </c:pt>
                <c:pt idx="689">
                  <c:v>0.1208</c:v>
                </c:pt>
                <c:pt idx="690">
                  <c:v>0.1235</c:v>
                </c:pt>
                <c:pt idx="691">
                  <c:v>0.12620000000000001</c:v>
                </c:pt>
                <c:pt idx="692">
                  <c:v>0.12770000000000001</c:v>
                </c:pt>
                <c:pt idx="693">
                  <c:v>0.1255</c:v>
                </c:pt>
                <c:pt idx="694">
                  <c:v>0.12889999999999999</c:v>
                </c:pt>
                <c:pt idx="695">
                  <c:v>0.12820000000000001</c:v>
                </c:pt>
                <c:pt idx="696">
                  <c:v>0.12839999999999999</c:v>
                </c:pt>
                <c:pt idx="697">
                  <c:v>0.13100000000000001</c:v>
                </c:pt>
                <c:pt idx="698">
                  <c:v>0.12770000000000001</c:v>
                </c:pt>
                <c:pt idx="699">
                  <c:v>0.13250000000000001</c:v>
                </c:pt>
                <c:pt idx="700">
                  <c:v>0.13420000000000001</c:v>
                </c:pt>
                <c:pt idx="701">
                  <c:v>0.1358</c:v>
                </c:pt>
                <c:pt idx="702">
                  <c:v>0.13550000000000001</c:v>
                </c:pt>
                <c:pt idx="703">
                  <c:v>0.1361</c:v>
                </c:pt>
                <c:pt idx="704">
                  <c:v>0.13880000000000001</c:v>
                </c:pt>
                <c:pt idx="705">
                  <c:v>0.1414</c:v>
                </c:pt>
                <c:pt idx="706">
                  <c:v>0.14169999999999999</c:v>
                </c:pt>
                <c:pt idx="707">
                  <c:v>0.14230000000000001</c:v>
                </c:pt>
                <c:pt idx="708">
                  <c:v>0.1384</c:v>
                </c:pt>
                <c:pt idx="709">
                  <c:v>0.1401</c:v>
                </c:pt>
                <c:pt idx="710">
                  <c:v>0.14199999999999999</c:v>
                </c:pt>
                <c:pt idx="711">
                  <c:v>0.14180000000000001</c:v>
                </c:pt>
                <c:pt idx="712">
                  <c:v>0.14430000000000001</c:v>
                </c:pt>
                <c:pt idx="713">
                  <c:v>0.1472</c:v>
                </c:pt>
                <c:pt idx="714">
                  <c:v>0.1454</c:v>
                </c:pt>
                <c:pt idx="715">
                  <c:v>0.14499999999999999</c:v>
                </c:pt>
                <c:pt idx="716">
                  <c:v>0.14779999999999999</c:v>
                </c:pt>
                <c:pt idx="717">
                  <c:v>0.1472</c:v>
                </c:pt>
                <c:pt idx="718">
                  <c:v>0.1477</c:v>
                </c:pt>
                <c:pt idx="719">
                  <c:v>0.14829999999999999</c:v>
                </c:pt>
                <c:pt idx="720">
                  <c:v>0.1489</c:v>
                </c:pt>
                <c:pt idx="721">
                  <c:v>0.14399999999999999</c:v>
                </c:pt>
                <c:pt idx="722">
                  <c:v>0.14360000000000001</c:v>
                </c:pt>
                <c:pt idx="723">
                  <c:v>0.1497</c:v>
                </c:pt>
                <c:pt idx="724">
                  <c:v>0.1472</c:v>
                </c:pt>
                <c:pt idx="725">
                  <c:v>0.14649999999999999</c:v>
                </c:pt>
                <c:pt idx="726">
                  <c:v>0.14480000000000001</c:v>
                </c:pt>
                <c:pt idx="727">
                  <c:v>0.14910000000000001</c:v>
                </c:pt>
                <c:pt idx="728">
                  <c:v>0.14879999999999999</c:v>
                </c:pt>
                <c:pt idx="729">
                  <c:v>0.14680000000000001</c:v>
                </c:pt>
                <c:pt idx="730">
                  <c:v>0.1449</c:v>
                </c:pt>
                <c:pt idx="731">
                  <c:v>0.1492</c:v>
                </c:pt>
                <c:pt idx="732">
                  <c:v>0.14960000000000001</c:v>
                </c:pt>
                <c:pt idx="733">
                  <c:v>0.1547</c:v>
                </c:pt>
                <c:pt idx="734">
                  <c:v>0.15310000000000001</c:v>
                </c:pt>
                <c:pt idx="735">
                  <c:v>0.1545</c:v>
                </c:pt>
                <c:pt idx="736">
                  <c:v>0.15279999999999999</c:v>
                </c:pt>
                <c:pt idx="737">
                  <c:v>0.15210000000000001</c:v>
                </c:pt>
                <c:pt idx="738">
                  <c:v>0.1515</c:v>
                </c:pt>
                <c:pt idx="739">
                  <c:v>0.15040000000000001</c:v>
                </c:pt>
                <c:pt idx="740">
                  <c:v>0.1477</c:v>
                </c:pt>
                <c:pt idx="741">
                  <c:v>0.1477</c:v>
                </c:pt>
                <c:pt idx="742">
                  <c:v>0.1482</c:v>
                </c:pt>
                <c:pt idx="743">
                  <c:v>0.14510000000000001</c:v>
                </c:pt>
                <c:pt idx="744">
                  <c:v>0.14510000000000001</c:v>
                </c:pt>
                <c:pt idx="745">
                  <c:v>0.14599999999999999</c:v>
                </c:pt>
                <c:pt idx="746">
                  <c:v>0.14710000000000001</c:v>
                </c:pt>
                <c:pt idx="747">
                  <c:v>0.1444</c:v>
                </c:pt>
                <c:pt idx="748">
                  <c:v>0.14449999999999999</c:v>
                </c:pt>
                <c:pt idx="749">
                  <c:v>0.1439</c:v>
                </c:pt>
                <c:pt idx="750">
                  <c:v>0.1497</c:v>
                </c:pt>
                <c:pt idx="751">
                  <c:v>0.14660000000000001</c:v>
                </c:pt>
                <c:pt idx="752">
                  <c:v>0.14430000000000001</c:v>
                </c:pt>
                <c:pt idx="753">
                  <c:v>0.14119999999999999</c:v>
                </c:pt>
                <c:pt idx="754">
                  <c:v>0.1421</c:v>
                </c:pt>
                <c:pt idx="755">
                  <c:v>0.1449</c:v>
                </c:pt>
                <c:pt idx="756">
                  <c:v>0.14680000000000001</c:v>
                </c:pt>
                <c:pt idx="757">
                  <c:v>0.1444</c:v>
                </c:pt>
                <c:pt idx="758">
                  <c:v>0.14530000000000001</c:v>
                </c:pt>
                <c:pt idx="759">
                  <c:v>0.1454</c:v>
                </c:pt>
                <c:pt idx="760">
                  <c:v>0.14829999999999999</c:v>
                </c:pt>
                <c:pt idx="761">
                  <c:v>0.14899999999999999</c:v>
                </c:pt>
                <c:pt idx="762">
                  <c:v>0.14979999999999999</c:v>
                </c:pt>
                <c:pt idx="763">
                  <c:v>0.15040000000000001</c:v>
                </c:pt>
                <c:pt idx="764">
                  <c:v>0.15279999999999999</c:v>
                </c:pt>
                <c:pt idx="765">
                  <c:v>0.15490000000000001</c:v>
                </c:pt>
                <c:pt idx="766">
                  <c:v>0.15759999999999999</c:v>
                </c:pt>
                <c:pt idx="767">
                  <c:v>0.16120000000000001</c:v>
                </c:pt>
                <c:pt idx="768">
                  <c:v>0.16250000000000001</c:v>
                </c:pt>
                <c:pt idx="769">
                  <c:v>0.156</c:v>
                </c:pt>
                <c:pt idx="770">
                  <c:v>0.156</c:v>
                </c:pt>
                <c:pt idx="771">
                  <c:v>0.15670000000000001</c:v>
                </c:pt>
                <c:pt idx="772">
                  <c:v>0.15459999999999999</c:v>
                </c:pt>
                <c:pt idx="773">
                  <c:v>0.15840000000000001</c:v>
                </c:pt>
                <c:pt idx="774">
                  <c:v>0.16669999999999999</c:v>
                </c:pt>
                <c:pt idx="775">
                  <c:v>0.16450000000000001</c:v>
                </c:pt>
                <c:pt idx="776">
                  <c:v>0.16450000000000001</c:v>
                </c:pt>
                <c:pt idx="777">
                  <c:v>0.161</c:v>
                </c:pt>
                <c:pt idx="778">
                  <c:v>0.16270000000000001</c:v>
                </c:pt>
                <c:pt idx="779">
                  <c:v>0.1605</c:v>
                </c:pt>
                <c:pt idx="780">
                  <c:v>0.15870000000000001</c:v>
                </c:pt>
                <c:pt idx="781">
                  <c:v>0.15740000000000001</c:v>
                </c:pt>
                <c:pt idx="782">
                  <c:v>0.15740000000000001</c:v>
                </c:pt>
                <c:pt idx="783">
                  <c:v>0.158</c:v>
                </c:pt>
                <c:pt idx="784">
                  <c:v>0.15590000000000001</c:v>
                </c:pt>
                <c:pt idx="785">
                  <c:v>0.1583</c:v>
                </c:pt>
                <c:pt idx="786">
                  <c:v>0.1615</c:v>
                </c:pt>
                <c:pt idx="787">
                  <c:v>0.16289999999999999</c:v>
                </c:pt>
                <c:pt idx="788">
                  <c:v>0.16039999999999999</c:v>
                </c:pt>
                <c:pt idx="789">
                  <c:v>0.1605</c:v>
                </c:pt>
                <c:pt idx="790">
                  <c:v>0.16420000000000001</c:v>
                </c:pt>
                <c:pt idx="791">
                  <c:v>0.16270000000000001</c:v>
                </c:pt>
                <c:pt idx="792">
                  <c:v>0.16439999999999999</c:v>
                </c:pt>
                <c:pt idx="793">
                  <c:v>0.1671</c:v>
                </c:pt>
                <c:pt idx="794">
                  <c:v>0.16550000000000001</c:v>
                </c:pt>
                <c:pt idx="795">
                  <c:v>0.1638</c:v>
                </c:pt>
                <c:pt idx="796">
                  <c:v>0.1638</c:v>
                </c:pt>
                <c:pt idx="797">
                  <c:v>0.1673</c:v>
                </c:pt>
                <c:pt idx="798">
                  <c:v>0.1696</c:v>
                </c:pt>
                <c:pt idx="799">
                  <c:v>0.17510000000000001</c:v>
                </c:pt>
                <c:pt idx="800">
                  <c:v>0.1779</c:v>
                </c:pt>
                <c:pt idx="801">
                  <c:v>0.18779999999999999</c:v>
                </c:pt>
                <c:pt idx="802">
                  <c:v>0.18129999999999999</c:v>
                </c:pt>
                <c:pt idx="803">
                  <c:v>0.17760000000000001</c:v>
                </c:pt>
                <c:pt idx="804">
                  <c:v>0.1724</c:v>
                </c:pt>
                <c:pt idx="805">
                  <c:v>0.16669999999999999</c:v>
                </c:pt>
                <c:pt idx="806">
                  <c:v>0.16209999999999999</c:v>
                </c:pt>
                <c:pt idx="807">
                  <c:v>0.1643</c:v>
                </c:pt>
                <c:pt idx="808">
                  <c:v>0.16139999999999999</c:v>
                </c:pt>
                <c:pt idx="809">
                  <c:v>0.16259999999999999</c:v>
                </c:pt>
                <c:pt idx="810">
                  <c:v>0.16400000000000001</c:v>
                </c:pt>
                <c:pt idx="811">
                  <c:v>0.16200000000000001</c:v>
                </c:pt>
                <c:pt idx="812">
                  <c:v>0.159</c:v>
                </c:pt>
                <c:pt idx="813">
                  <c:v>0.15959999999999999</c:v>
                </c:pt>
                <c:pt idx="814">
                  <c:v>0.1636</c:v>
                </c:pt>
                <c:pt idx="815">
                  <c:v>0.1613</c:v>
                </c:pt>
                <c:pt idx="816">
                  <c:v>0.16120000000000001</c:v>
                </c:pt>
                <c:pt idx="817">
                  <c:v>0.16300000000000001</c:v>
                </c:pt>
                <c:pt idx="818">
                  <c:v>0.15989999999999999</c:v>
                </c:pt>
                <c:pt idx="819">
                  <c:v>0.15890000000000001</c:v>
                </c:pt>
                <c:pt idx="820">
                  <c:v>0.15759999999999999</c:v>
                </c:pt>
                <c:pt idx="821">
                  <c:v>0.15529999999999999</c:v>
                </c:pt>
                <c:pt idx="822">
                  <c:v>0.15429999999999999</c:v>
                </c:pt>
                <c:pt idx="823">
                  <c:v>0.15629999999999999</c:v>
                </c:pt>
                <c:pt idx="824">
                  <c:v>0.15090000000000001</c:v>
                </c:pt>
                <c:pt idx="825">
                  <c:v>0.15190000000000001</c:v>
                </c:pt>
                <c:pt idx="826">
                  <c:v>0.1492</c:v>
                </c:pt>
                <c:pt idx="827">
                  <c:v>0.1492</c:v>
                </c:pt>
                <c:pt idx="828">
                  <c:v>0.1477</c:v>
                </c:pt>
                <c:pt idx="829">
                  <c:v>0.14710000000000001</c:v>
                </c:pt>
                <c:pt idx="830">
                  <c:v>0.1484</c:v>
                </c:pt>
                <c:pt idx="831">
                  <c:v>0.15160000000000001</c:v>
                </c:pt>
                <c:pt idx="832">
                  <c:v>0.15140000000000001</c:v>
                </c:pt>
                <c:pt idx="833">
                  <c:v>0.15179999999999999</c:v>
                </c:pt>
                <c:pt idx="834">
                  <c:v>0.15459999999999999</c:v>
                </c:pt>
                <c:pt idx="835">
                  <c:v>0.1535</c:v>
                </c:pt>
                <c:pt idx="836">
                  <c:v>0.15429999999999999</c:v>
                </c:pt>
                <c:pt idx="837">
                  <c:v>0.15859999999999999</c:v>
                </c:pt>
                <c:pt idx="838">
                  <c:v>0.1638</c:v>
                </c:pt>
                <c:pt idx="839">
                  <c:v>0.16719999999999999</c:v>
                </c:pt>
                <c:pt idx="840">
                  <c:v>0.16289999999999999</c:v>
                </c:pt>
                <c:pt idx="841">
                  <c:v>0.16769999999999999</c:v>
                </c:pt>
                <c:pt idx="842">
                  <c:v>0.1694</c:v>
                </c:pt>
                <c:pt idx="843">
                  <c:v>0.16919999999999999</c:v>
                </c:pt>
                <c:pt idx="844">
                  <c:v>0.1691</c:v>
                </c:pt>
                <c:pt idx="845">
                  <c:v>0.17169999999999999</c:v>
                </c:pt>
                <c:pt idx="846">
                  <c:v>0.17899999999999999</c:v>
                </c:pt>
                <c:pt idx="847">
                  <c:v>0.1724</c:v>
                </c:pt>
                <c:pt idx="848">
                  <c:v>0.1699</c:v>
                </c:pt>
                <c:pt idx="849">
                  <c:v>0.17069999999999999</c:v>
                </c:pt>
                <c:pt idx="850">
                  <c:v>0.1673</c:v>
                </c:pt>
                <c:pt idx="851">
                  <c:v>0.17119999999999999</c:v>
                </c:pt>
                <c:pt idx="852">
                  <c:v>0.17530000000000001</c:v>
                </c:pt>
                <c:pt idx="853">
                  <c:v>0.17549999999999999</c:v>
                </c:pt>
                <c:pt idx="854">
                  <c:v>0.1749</c:v>
                </c:pt>
                <c:pt idx="855">
                  <c:v>0.1749</c:v>
                </c:pt>
                <c:pt idx="856">
                  <c:v>0.18099999999999999</c:v>
                </c:pt>
                <c:pt idx="857">
                  <c:v>0.1784</c:v>
                </c:pt>
                <c:pt idx="858">
                  <c:v>0.1711</c:v>
                </c:pt>
                <c:pt idx="859">
                  <c:v>0.1696</c:v>
                </c:pt>
                <c:pt idx="860">
                  <c:v>0.1699</c:v>
                </c:pt>
                <c:pt idx="861">
                  <c:v>0.1721</c:v>
                </c:pt>
                <c:pt idx="862">
                  <c:v>0.16950000000000001</c:v>
                </c:pt>
                <c:pt idx="863">
                  <c:v>0.1704</c:v>
                </c:pt>
                <c:pt idx="864">
                  <c:v>0.16669999999999999</c:v>
                </c:pt>
                <c:pt idx="865">
                  <c:v>0.16830000000000001</c:v>
                </c:pt>
                <c:pt idx="866">
                  <c:v>0.1704</c:v>
                </c:pt>
                <c:pt idx="867">
                  <c:v>0.1678</c:v>
                </c:pt>
                <c:pt idx="868">
                  <c:v>0.17119999999999999</c:v>
                </c:pt>
                <c:pt idx="869">
                  <c:v>0.1736</c:v>
                </c:pt>
                <c:pt idx="870">
                  <c:v>0.1736</c:v>
                </c:pt>
                <c:pt idx="871">
                  <c:v>0.1769</c:v>
                </c:pt>
                <c:pt idx="872">
                  <c:v>0.17680000000000001</c:v>
                </c:pt>
                <c:pt idx="873">
                  <c:v>0.17430000000000001</c:v>
                </c:pt>
                <c:pt idx="874">
                  <c:v>0.17710000000000001</c:v>
                </c:pt>
                <c:pt idx="875">
                  <c:v>0.17380000000000001</c:v>
                </c:pt>
                <c:pt idx="876">
                  <c:v>0.17710000000000001</c:v>
                </c:pt>
                <c:pt idx="877">
                  <c:v>0.17730000000000001</c:v>
                </c:pt>
                <c:pt idx="878">
                  <c:v>0.17660000000000001</c:v>
                </c:pt>
                <c:pt idx="879">
                  <c:v>0.1754</c:v>
                </c:pt>
                <c:pt idx="880">
                  <c:v>0.1729</c:v>
                </c:pt>
                <c:pt idx="881">
                  <c:v>0.17050000000000001</c:v>
                </c:pt>
                <c:pt idx="882">
                  <c:v>0.1704</c:v>
                </c:pt>
                <c:pt idx="883">
                  <c:v>0.16550000000000001</c:v>
                </c:pt>
                <c:pt idx="884">
                  <c:v>0.1643</c:v>
                </c:pt>
                <c:pt idx="885">
                  <c:v>0.1678</c:v>
                </c:pt>
                <c:pt idx="886">
                  <c:v>0.1643</c:v>
                </c:pt>
                <c:pt idx="887">
                  <c:v>0.16689999999999999</c:v>
                </c:pt>
                <c:pt idx="888">
                  <c:v>0.16930000000000001</c:v>
                </c:pt>
                <c:pt idx="889">
                  <c:v>0.16980000000000001</c:v>
                </c:pt>
                <c:pt idx="890">
                  <c:v>0.17380000000000001</c:v>
                </c:pt>
                <c:pt idx="891">
                  <c:v>0.17419999999999999</c:v>
                </c:pt>
                <c:pt idx="892">
                  <c:v>0.1784</c:v>
                </c:pt>
                <c:pt idx="893">
                  <c:v>0.1794</c:v>
                </c:pt>
                <c:pt idx="894">
                  <c:v>0.18149999999999999</c:v>
                </c:pt>
                <c:pt idx="895">
                  <c:v>0.18149999999999999</c:v>
                </c:pt>
                <c:pt idx="896">
                  <c:v>0.1787</c:v>
                </c:pt>
                <c:pt idx="897">
                  <c:v>0.17749999999999999</c:v>
                </c:pt>
                <c:pt idx="898">
                  <c:v>0.17449999999999999</c:v>
                </c:pt>
                <c:pt idx="899">
                  <c:v>0.17280000000000001</c:v>
                </c:pt>
                <c:pt idx="900">
                  <c:v>0.1699</c:v>
                </c:pt>
                <c:pt idx="901">
                  <c:v>0.17080000000000001</c:v>
                </c:pt>
                <c:pt idx="902">
                  <c:v>0.16930000000000001</c:v>
                </c:pt>
                <c:pt idx="903">
                  <c:v>0.17330000000000001</c:v>
                </c:pt>
                <c:pt idx="904">
                  <c:v>0.17710000000000001</c:v>
                </c:pt>
                <c:pt idx="905">
                  <c:v>0.17069999999999999</c:v>
                </c:pt>
                <c:pt idx="906">
                  <c:v>0.1741</c:v>
                </c:pt>
                <c:pt idx="907">
                  <c:v>0.1767</c:v>
                </c:pt>
                <c:pt idx="908">
                  <c:v>0.1762</c:v>
                </c:pt>
                <c:pt idx="909">
                  <c:v>0.1817</c:v>
                </c:pt>
                <c:pt idx="910">
                  <c:v>0.1842</c:v>
                </c:pt>
                <c:pt idx="911">
                  <c:v>0.1835</c:v>
                </c:pt>
                <c:pt idx="912">
                  <c:v>0.18609999999999999</c:v>
                </c:pt>
                <c:pt idx="913">
                  <c:v>0.183</c:v>
                </c:pt>
                <c:pt idx="914">
                  <c:v>0.17910000000000001</c:v>
                </c:pt>
                <c:pt idx="915">
                  <c:v>0.17949999999999999</c:v>
                </c:pt>
                <c:pt idx="916">
                  <c:v>0.17979999999999999</c:v>
                </c:pt>
                <c:pt idx="917">
                  <c:v>0.17929999999999999</c:v>
                </c:pt>
                <c:pt idx="918">
                  <c:v>0.1862</c:v>
                </c:pt>
                <c:pt idx="919">
                  <c:v>0.18679999999999999</c:v>
                </c:pt>
                <c:pt idx="920">
                  <c:v>0.1847</c:v>
                </c:pt>
                <c:pt idx="921">
                  <c:v>0.19589999999999999</c:v>
                </c:pt>
                <c:pt idx="922">
                  <c:v>0.19470000000000001</c:v>
                </c:pt>
                <c:pt idx="923">
                  <c:v>0.19539999999999999</c:v>
                </c:pt>
                <c:pt idx="924">
                  <c:v>0.19950000000000001</c:v>
                </c:pt>
                <c:pt idx="925">
                  <c:v>0.20030000000000001</c:v>
                </c:pt>
                <c:pt idx="926">
                  <c:v>0.20019999999999999</c:v>
                </c:pt>
                <c:pt idx="927">
                  <c:v>0.20169999999999999</c:v>
                </c:pt>
                <c:pt idx="928">
                  <c:v>0.19789999999999999</c:v>
                </c:pt>
                <c:pt idx="929">
                  <c:v>0.1958</c:v>
                </c:pt>
                <c:pt idx="930">
                  <c:v>0.1958</c:v>
                </c:pt>
                <c:pt idx="931">
                  <c:v>0.1958</c:v>
                </c:pt>
                <c:pt idx="932">
                  <c:v>0.1973</c:v>
                </c:pt>
                <c:pt idx="933">
                  <c:v>0.1968</c:v>
                </c:pt>
                <c:pt idx="934">
                  <c:v>0.20039999999999999</c:v>
                </c:pt>
                <c:pt idx="935">
                  <c:v>0.20219999999999999</c:v>
                </c:pt>
                <c:pt idx="936">
                  <c:v>0.19839999999999999</c:v>
                </c:pt>
                <c:pt idx="937">
                  <c:v>0.19670000000000001</c:v>
                </c:pt>
                <c:pt idx="938">
                  <c:v>0.19900000000000001</c:v>
                </c:pt>
                <c:pt idx="939">
                  <c:v>0.19620000000000001</c:v>
                </c:pt>
                <c:pt idx="940">
                  <c:v>0.19620000000000001</c:v>
                </c:pt>
                <c:pt idx="941">
                  <c:v>0.1948</c:v>
                </c:pt>
                <c:pt idx="942">
                  <c:v>0.19489999999999999</c:v>
                </c:pt>
                <c:pt idx="943">
                  <c:v>0.19239999999999999</c:v>
                </c:pt>
                <c:pt idx="944">
                  <c:v>0.18790000000000001</c:v>
                </c:pt>
                <c:pt idx="945">
                  <c:v>0.1898</c:v>
                </c:pt>
                <c:pt idx="946">
                  <c:v>0.18959999999999999</c:v>
                </c:pt>
                <c:pt idx="947">
                  <c:v>0.19520000000000001</c:v>
                </c:pt>
                <c:pt idx="948">
                  <c:v>0.19489999999999999</c:v>
                </c:pt>
                <c:pt idx="949">
                  <c:v>0.1918</c:v>
                </c:pt>
                <c:pt idx="950">
                  <c:v>0.18859999999999999</c:v>
                </c:pt>
                <c:pt idx="951">
                  <c:v>0.18970000000000001</c:v>
                </c:pt>
                <c:pt idx="952">
                  <c:v>0.1933</c:v>
                </c:pt>
                <c:pt idx="953">
                  <c:v>0.19489999999999999</c:v>
                </c:pt>
                <c:pt idx="954">
                  <c:v>0.191</c:v>
                </c:pt>
                <c:pt idx="955">
                  <c:v>0.18920000000000001</c:v>
                </c:pt>
                <c:pt idx="956">
                  <c:v>0.19320000000000001</c:v>
                </c:pt>
                <c:pt idx="957">
                  <c:v>0.19409999999999999</c:v>
                </c:pt>
                <c:pt idx="958">
                  <c:v>0.2024</c:v>
                </c:pt>
                <c:pt idx="959">
                  <c:v>0.2006</c:v>
                </c:pt>
                <c:pt idx="960">
                  <c:v>0.19689999999999999</c:v>
                </c:pt>
                <c:pt idx="961">
                  <c:v>0.19850000000000001</c:v>
                </c:pt>
                <c:pt idx="962">
                  <c:v>0.19769999999999999</c:v>
                </c:pt>
                <c:pt idx="963">
                  <c:v>0.19839999999999999</c:v>
                </c:pt>
                <c:pt idx="964">
                  <c:v>0.2029</c:v>
                </c:pt>
                <c:pt idx="965">
                  <c:v>0.20330000000000001</c:v>
                </c:pt>
                <c:pt idx="966">
                  <c:v>0.20069999999999999</c:v>
                </c:pt>
                <c:pt idx="967">
                  <c:v>0.1986</c:v>
                </c:pt>
                <c:pt idx="968">
                  <c:v>0.19589999999999999</c:v>
                </c:pt>
                <c:pt idx="969">
                  <c:v>0.19800000000000001</c:v>
                </c:pt>
                <c:pt idx="970">
                  <c:v>0.19350000000000001</c:v>
                </c:pt>
                <c:pt idx="971">
                  <c:v>0.18870000000000001</c:v>
                </c:pt>
                <c:pt idx="972">
                  <c:v>0.18970000000000001</c:v>
                </c:pt>
                <c:pt idx="973">
                  <c:v>0.18940000000000001</c:v>
                </c:pt>
                <c:pt idx="974">
                  <c:v>0.1908</c:v>
                </c:pt>
                <c:pt idx="975">
                  <c:v>0.19389999999999999</c:v>
                </c:pt>
                <c:pt idx="976">
                  <c:v>0.1966</c:v>
                </c:pt>
                <c:pt idx="977">
                  <c:v>0.19700000000000001</c:v>
                </c:pt>
                <c:pt idx="978">
                  <c:v>0.19620000000000001</c:v>
                </c:pt>
                <c:pt idx="979">
                  <c:v>0.19270000000000001</c:v>
                </c:pt>
                <c:pt idx="980">
                  <c:v>0.19370000000000001</c:v>
                </c:pt>
                <c:pt idx="981">
                  <c:v>0.19539999999999999</c:v>
                </c:pt>
                <c:pt idx="982">
                  <c:v>0.1938</c:v>
                </c:pt>
                <c:pt idx="983">
                  <c:v>0.1963</c:v>
                </c:pt>
                <c:pt idx="984">
                  <c:v>0.19939999999999999</c:v>
                </c:pt>
                <c:pt idx="985">
                  <c:v>0.19919999999999999</c:v>
                </c:pt>
                <c:pt idx="986">
                  <c:v>0.19900000000000001</c:v>
                </c:pt>
                <c:pt idx="987">
                  <c:v>0.19600000000000001</c:v>
                </c:pt>
                <c:pt idx="988">
                  <c:v>0.20119999999999999</c:v>
                </c:pt>
                <c:pt idx="989">
                  <c:v>0.2001</c:v>
                </c:pt>
                <c:pt idx="990">
                  <c:v>0.19739999999999999</c:v>
                </c:pt>
                <c:pt idx="991">
                  <c:v>0.19989999999999999</c:v>
                </c:pt>
                <c:pt idx="992">
                  <c:v>0.20419999999999999</c:v>
                </c:pt>
                <c:pt idx="993">
                  <c:v>0.20180000000000001</c:v>
                </c:pt>
                <c:pt idx="994">
                  <c:v>0.19989999999999999</c:v>
                </c:pt>
                <c:pt idx="995">
                  <c:v>0.1976</c:v>
                </c:pt>
                <c:pt idx="996">
                  <c:v>0.2011</c:v>
                </c:pt>
                <c:pt idx="997">
                  <c:v>0.1993</c:v>
                </c:pt>
                <c:pt idx="998">
                  <c:v>0.1993</c:v>
                </c:pt>
                <c:pt idx="999">
                  <c:v>0.19350000000000001</c:v>
                </c:pt>
                <c:pt idx="1000">
                  <c:v>0.19189999999999999</c:v>
                </c:pt>
                <c:pt idx="1001">
                  <c:v>0.186</c:v>
                </c:pt>
                <c:pt idx="1002">
                  <c:v>0.186</c:v>
                </c:pt>
                <c:pt idx="1003">
                  <c:v>0.1862</c:v>
                </c:pt>
                <c:pt idx="1004">
                  <c:v>0.1875</c:v>
                </c:pt>
                <c:pt idx="1005">
                  <c:v>0.19159999999999999</c:v>
                </c:pt>
                <c:pt idx="1006">
                  <c:v>0.1948</c:v>
                </c:pt>
                <c:pt idx="1007">
                  <c:v>0.19819999999999999</c:v>
                </c:pt>
                <c:pt idx="1008">
                  <c:v>0.19689999999999999</c:v>
                </c:pt>
                <c:pt idx="1009">
                  <c:v>0.1971</c:v>
                </c:pt>
                <c:pt idx="1010">
                  <c:v>0.19639999999999999</c:v>
                </c:pt>
                <c:pt idx="1011">
                  <c:v>0.19650000000000001</c:v>
                </c:pt>
                <c:pt idx="1012">
                  <c:v>0.19289999999999999</c:v>
                </c:pt>
                <c:pt idx="1013">
                  <c:v>0.19400000000000001</c:v>
                </c:pt>
                <c:pt idx="1014">
                  <c:v>0.19109999999999999</c:v>
                </c:pt>
                <c:pt idx="1015">
                  <c:v>0.18590000000000001</c:v>
                </c:pt>
                <c:pt idx="1016">
                  <c:v>0.18740000000000001</c:v>
                </c:pt>
                <c:pt idx="1017">
                  <c:v>0.19259999999999999</c:v>
                </c:pt>
                <c:pt idx="1018">
                  <c:v>0.19239999999999999</c:v>
                </c:pt>
                <c:pt idx="1019">
                  <c:v>0.19239999999999999</c:v>
                </c:pt>
                <c:pt idx="1020">
                  <c:v>0.19209999999999999</c:v>
                </c:pt>
                <c:pt idx="1021">
                  <c:v>0.18959999999999999</c:v>
                </c:pt>
                <c:pt idx="1022">
                  <c:v>0.191</c:v>
                </c:pt>
                <c:pt idx="1023">
                  <c:v>0.18779999999999999</c:v>
                </c:pt>
                <c:pt idx="1024">
                  <c:v>0.1888</c:v>
                </c:pt>
                <c:pt idx="1025">
                  <c:v>0.18740000000000001</c:v>
                </c:pt>
                <c:pt idx="1026">
                  <c:v>0.1875</c:v>
                </c:pt>
                <c:pt idx="1027">
                  <c:v>0.18340000000000001</c:v>
                </c:pt>
                <c:pt idx="1028">
                  <c:v>0.18190000000000001</c:v>
                </c:pt>
                <c:pt idx="1029">
                  <c:v>0.18049999999999999</c:v>
                </c:pt>
                <c:pt idx="1030">
                  <c:v>0.17829999999999999</c:v>
                </c:pt>
                <c:pt idx="1031">
                  <c:v>0.18110000000000001</c:v>
                </c:pt>
                <c:pt idx="1032">
                  <c:v>0.18340000000000001</c:v>
                </c:pt>
                <c:pt idx="1033">
                  <c:v>0.18090000000000001</c:v>
                </c:pt>
                <c:pt idx="1034">
                  <c:v>0.18310000000000001</c:v>
                </c:pt>
                <c:pt idx="1035">
                  <c:v>0.18310000000000001</c:v>
                </c:pt>
                <c:pt idx="1036">
                  <c:v>0.18659999999999999</c:v>
                </c:pt>
                <c:pt idx="1037">
                  <c:v>0.19070000000000001</c:v>
                </c:pt>
                <c:pt idx="1038">
                  <c:v>0.1893</c:v>
                </c:pt>
                <c:pt idx="1039">
                  <c:v>0.189</c:v>
                </c:pt>
                <c:pt idx="1040">
                  <c:v>0.18809999999999999</c:v>
                </c:pt>
                <c:pt idx="1041">
                  <c:v>0.18779999999999999</c:v>
                </c:pt>
                <c:pt idx="1042">
                  <c:v>0.18490000000000001</c:v>
                </c:pt>
                <c:pt idx="1043">
                  <c:v>0.18410000000000001</c:v>
                </c:pt>
                <c:pt idx="1044">
                  <c:v>0.182</c:v>
                </c:pt>
                <c:pt idx="1045">
                  <c:v>0.1822</c:v>
                </c:pt>
                <c:pt idx="1046">
                  <c:v>0.18479999999999999</c:v>
                </c:pt>
                <c:pt idx="1047">
                  <c:v>0.17929999999999999</c:v>
                </c:pt>
                <c:pt idx="1048">
                  <c:v>0.1799</c:v>
                </c:pt>
                <c:pt idx="1049">
                  <c:v>0.18229999999999999</c:v>
                </c:pt>
                <c:pt idx="1050">
                  <c:v>0.18049999999999999</c:v>
                </c:pt>
                <c:pt idx="1051">
                  <c:v>0.18079999999999999</c:v>
                </c:pt>
                <c:pt idx="1052">
                  <c:v>0.18479999999999999</c:v>
                </c:pt>
                <c:pt idx="1053">
                  <c:v>0.183</c:v>
                </c:pt>
                <c:pt idx="1054">
                  <c:v>0.18260000000000001</c:v>
                </c:pt>
                <c:pt idx="1055">
                  <c:v>0.1812</c:v>
                </c:pt>
                <c:pt idx="1056">
                  <c:v>0.1807</c:v>
                </c:pt>
                <c:pt idx="1057">
                  <c:v>0.1807</c:v>
                </c:pt>
                <c:pt idx="1058">
                  <c:v>0.18279999999999999</c:v>
                </c:pt>
                <c:pt idx="1059">
                  <c:v>0.182</c:v>
                </c:pt>
                <c:pt idx="1060">
                  <c:v>0.182</c:v>
                </c:pt>
                <c:pt idx="1061">
                  <c:v>0.18479999999999999</c:v>
                </c:pt>
                <c:pt idx="1062">
                  <c:v>0.184</c:v>
                </c:pt>
                <c:pt idx="1063">
                  <c:v>0.18160000000000001</c:v>
                </c:pt>
                <c:pt idx="1064">
                  <c:v>0.17760000000000001</c:v>
                </c:pt>
                <c:pt idx="1065">
                  <c:v>0.17760000000000001</c:v>
                </c:pt>
                <c:pt idx="1066">
                  <c:v>0.18340000000000001</c:v>
                </c:pt>
                <c:pt idx="1067">
                  <c:v>0.18640000000000001</c:v>
                </c:pt>
                <c:pt idx="1068">
                  <c:v>0.1893</c:v>
                </c:pt>
                <c:pt idx="1069">
                  <c:v>0.19350000000000001</c:v>
                </c:pt>
                <c:pt idx="1070">
                  <c:v>0.19270000000000001</c:v>
                </c:pt>
                <c:pt idx="1071">
                  <c:v>0.1943</c:v>
                </c:pt>
                <c:pt idx="1072">
                  <c:v>0.18940000000000001</c:v>
                </c:pt>
                <c:pt idx="1073">
                  <c:v>0.191</c:v>
                </c:pt>
                <c:pt idx="1074">
                  <c:v>0.19239999999999999</c:v>
                </c:pt>
                <c:pt idx="1075">
                  <c:v>0.1913</c:v>
                </c:pt>
                <c:pt idx="1076">
                  <c:v>0.18729999999999999</c:v>
                </c:pt>
                <c:pt idx="1077">
                  <c:v>0.18559999999999999</c:v>
                </c:pt>
                <c:pt idx="1078">
                  <c:v>0.18690000000000001</c:v>
                </c:pt>
                <c:pt idx="1079">
                  <c:v>0.1893</c:v>
                </c:pt>
                <c:pt idx="1080">
                  <c:v>0.1928</c:v>
                </c:pt>
                <c:pt idx="1081">
                  <c:v>0.1915</c:v>
                </c:pt>
                <c:pt idx="1082">
                  <c:v>0.19239999999999999</c:v>
                </c:pt>
                <c:pt idx="1083">
                  <c:v>0.19259999999999999</c:v>
                </c:pt>
                <c:pt idx="1084">
                  <c:v>0.1961</c:v>
                </c:pt>
                <c:pt idx="1085">
                  <c:v>0.19589999999999999</c:v>
                </c:pt>
                <c:pt idx="1086">
                  <c:v>0.19109999999999999</c:v>
                </c:pt>
                <c:pt idx="1087">
                  <c:v>0.19470000000000001</c:v>
                </c:pt>
                <c:pt idx="1088">
                  <c:v>0.19489999999999999</c:v>
                </c:pt>
                <c:pt idx="1089">
                  <c:v>0.19370000000000001</c:v>
                </c:pt>
                <c:pt idx="1090">
                  <c:v>0.1961</c:v>
                </c:pt>
                <c:pt idx="1091">
                  <c:v>0.19650000000000001</c:v>
                </c:pt>
                <c:pt idx="1092">
                  <c:v>0.19589999999999999</c:v>
                </c:pt>
                <c:pt idx="1093">
                  <c:v>0.19839999999999999</c:v>
                </c:pt>
                <c:pt idx="1094">
                  <c:v>0.2041</c:v>
                </c:pt>
                <c:pt idx="1095">
                  <c:v>0.2031</c:v>
                </c:pt>
                <c:pt idx="1096">
                  <c:v>0.20219999999999999</c:v>
                </c:pt>
                <c:pt idx="1097">
                  <c:v>0.20100000000000001</c:v>
                </c:pt>
                <c:pt idx="1098">
                  <c:v>0.2006</c:v>
                </c:pt>
                <c:pt idx="1099">
                  <c:v>0.2026</c:v>
                </c:pt>
                <c:pt idx="1100">
                  <c:v>0.19739999999999999</c:v>
                </c:pt>
                <c:pt idx="1101">
                  <c:v>0.19620000000000001</c:v>
                </c:pt>
                <c:pt idx="1102">
                  <c:v>0.19869999999999999</c:v>
                </c:pt>
                <c:pt idx="1103">
                  <c:v>0.19239999999999999</c:v>
                </c:pt>
                <c:pt idx="1104">
                  <c:v>0.1895</c:v>
                </c:pt>
                <c:pt idx="1105">
                  <c:v>0.1898</c:v>
                </c:pt>
                <c:pt idx="1106">
                  <c:v>0.18970000000000001</c:v>
                </c:pt>
                <c:pt idx="1107">
                  <c:v>0.19309999999999999</c:v>
                </c:pt>
                <c:pt idx="1108">
                  <c:v>0.19189999999999999</c:v>
                </c:pt>
                <c:pt idx="1109">
                  <c:v>0.1885</c:v>
                </c:pt>
                <c:pt idx="1110">
                  <c:v>0.1862</c:v>
                </c:pt>
                <c:pt idx="1111">
                  <c:v>0.1862</c:v>
                </c:pt>
                <c:pt idx="1112">
                  <c:v>0.18779999999999999</c:v>
                </c:pt>
                <c:pt idx="1113">
                  <c:v>0.19159999999999999</c:v>
                </c:pt>
                <c:pt idx="1114">
                  <c:v>0.18659999999999999</c:v>
                </c:pt>
                <c:pt idx="1115">
                  <c:v>0.18540000000000001</c:v>
                </c:pt>
                <c:pt idx="1116">
                  <c:v>0.1855</c:v>
                </c:pt>
                <c:pt idx="1117">
                  <c:v>0.18640000000000001</c:v>
                </c:pt>
                <c:pt idx="1118">
                  <c:v>0.19170000000000001</c:v>
                </c:pt>
                <c:pt idx="1119">
                  <c:v>0.1968</c:v>
                </c:pt>
                <c:pt idx="1120">
                  <c:v>0.2</c:v>
                </c:pt>
                <c:pt idx="1121">
                  <c:v>0.1983</c:v>
                </c:pt>
                <c:pt idx="1122">
                  <c:v>0.19769999999999999</c:v>
                </c:pt>
                <c:pt idx="1123">
                  <c:v>0.19950000000000001</c:v>
                </c:pt>
                <c:pt idx="1124">
                  <c:v>0.19769999999999999</c:v>
                </c:pt>
                <c:pt idx="1125">
                  <c:v>0.19750000000000001</c:v>
                </c:pt>
                <c:pt idx="1126">
                  <c:v>0.1968</c:v>
                </c:pt>
                <c:pt idx="1127">
                  <c:v>0.19539999999999999</c:v>
                </c:pt>
                <c:pt idx="1128">
                  <c:v>0.1961</c:v>
                </c:pt>
                <c:pt idx="1129">
                  <c:v>0.1961</c:v>
                </c:pt>
                <c:pt idx="1130">
                  <c:v>0.19400000000000001</c:v>
                </c:pt>
                <c:pt idx="1131">
                  <c:v>0.19439999999999999</c:v>
                </c:pt>
                <c:pt idx="1132">
                  <c:v>0.19350000000000001</c:v>
                </c:pt>
                <c:pt idx="1133">
                  <c:v>0.19289999999999999</c:v>
                </c:pt>
                <c:pt idx="1134">
                  <c:v>0.1956</c:v>
                </c:pt>
                <c:pt idx="1135">
                  <c:v>0.18970000000000001</c:v>
                </c:pt>
                <c:pt idx="1136">
                  <c:v>0.1898</c:v>
                </c:pt>
                <c:pt idx="1137">
                  <c:v>0.19289999999999999</c:v>
                </c:pt>
                <c:pt idx="1138">
                  <c:v>0.18870000000000001</c:v>
                </c:pt>
                <c:pt idx="1139">
                  <c:v>0.18709999999999999</c:v>
                </c:pt>
                <c:pt idx="1140">
                  <c:v>0.187</c:v>
                </c:pt>
                <c:pt idx="1141">
                  <c:v>0.18459999999999999</c:v>
                </c:pt>
                <c:pt idx="1142">
                  <c:v>0.18579999999999999</c:v>
                </c:pt>
                <c:pt idx="1143">
                  <c:v>0.186</c:v>
                </c:pt>
                <c:pt idx="1144">
                  <c:v>0.186</c:v>
                </c:pt>
                <c:pt idx="1145">
                  <c:v>0.18659999999999999</c:v>
                </c:pt>
                <c:pt idx="1146">
                  <c:v>0.1845</c:v>
                </c:pt>
                <c:pt idx="1147">
                  <c:v>0.18379999999999999</c:v>
                </c:pt>
                <c:pt idx="1148">
                  <c:v>0.1837</c:v>
                </c:pt>
                <c:pt idx="1149">
                  <c:v>0.18290000000000001</c:v>
                </c:pt>
                <c:pt idx="1150">
                  <c:v>0.18260000000000001</c:v>
                </c:pt>
                <c:pt idx="1151">
                  <c:v>0.18479999999999999</c:v>
                </c:pt>
                <c:pt idx="1152">
                  <c:v>0.1855</c:v>
                </c:pt>
                <c:pt idx="1153">
                  <c:v>0.1847</c:v>
                </c:pt>
                <c:pt idx="1154">
                  <c:v>0.18060000000000001</c:v>
                </c:pt>
                <c:pt idx="1155">
                  <c:v>0.1807</c:v>
                </c:pt>
                <c:pt idx="1156">
                  <c:v>0.17810000000000001</c:v>
                </c:pt>
                <c:pt idx="1157">
                  <c:v>0.17979999999999999</c:v>
                </c:pt>
                <c:pt idx="1158">
                  <c:v>0.18509999999999999</c:v>
                </c:pt>
                <c:pt idx="1159">
                  <c:v>0.19040000000000001</c:v>
                </c:pt>
                <c:pt idx="1160">
                  <c:v>0.189</c:v>
                </c:pt>
                <c:pt idx="1161">
                  <c:v>0.187</c:v>
                </c:pt>
                <c:pt idx="1162">
                  <c:v>0.1913</c:v>
                </c:pt>
                <c:pt idx="1163">
                  <c:v>0.1898</c:v>
                </c:pt>
                <c:pt idx="1164">
                  <c:v>0.1915</c:v>
                </c:pt>
                <c:pt idx="1165">
                  <c:v>0.1888</c:v>
                </c:pt>
                <c:pt idx="1166">
                  <c:v>0.18679999999999999</c:v>
                </c:pt>
                <c:pt idx="1167">
                  <c:v>0.18340000000000001</c:v>
                </c:pt>
                <c:pt idx="1168">
                  <c:v>0.1789</c:v>
                </c:pt>
                <c:pt idx="1169">
                  <c:v>0.17480000000000001</c:v>
                </c:pt>
                <c:pt idx="1170">
                  <c:v>0.17449999999999999</c:v>
                </c:pt>
                <c:pt idx="1171">
                  <c:v>0.17399999999999999</c:v>
                </c:pt>
                <c:pt idx="1172">
                  <c:v>0.17730000000000001</c:v>
                </c:pt>
                <c:pt idx="1173">
                  <c:v>0.17549999999999999</c:v>
                </c:pt>
                <c:pt idx="1174">
                  <c:v>0.1764</c:v>
                </c:pt>
                <c:pt idx="1175">
                  <c:v>0.1767</c:v>
                </c:pt>
                <c:pt idx="1176">
                  <c:v>0.1779</c:v>
                </c:pt>
                <c:pt idx="1177">
                  <c:v>0.17599999999999999</c:v>
                </c:pt>
                <c:pt idx="1178">
                  <c:v>0.17960000000000001</c:v>
                </c:pt>
                <c:pt idx="1179">
                  <c:v>0.17929999999999999</c:v>
                </c:pt>
                <c:pt idx="1180">
                  <c:v>0.1799</c:v>
                </c:pt>
                <c:pt idx="1181">
                  <c:v>0.18240000000000001</c:v>
                </c:pt>
                <c:pt idx="1182">
                  <c:v>0.185</c:v>
                </c:pt>
                <c:pt idx="1183">
                  <c:v>0.18629999999999999</c:v>
                </c:pt>
                <c:pt idx="1184">
                  <c:v>0.1855</c:v>
                </c:pt>
                <c:pt idx="1185">
                  <c:v>0.18279999999999999</c:v>
                </c:pt>
                <c:pt idx="1186">
                  <c:v>0.1825</c:v>
                </c:pt>
                <c:pt idx="1187">
                  <c:v>0.17780000000000001</c:v>
                </c:pt>
                <c:pt idx="1188">
                  <c:v>0.18060000000000001</c:v>
                </c:pt>
                <c:pt idx="1189">
                  <c:v>0.1792</c:v>
                </c:pt>
                <c:pt idx="1190">
                  <c:v>0.17929999999999999</c:v>
                </c:pt>
                <c:pt idx="1191">
                  <c:v>0.1804</c:v>
                </c:pt>
                <c:pt idx="1192">
                  <c:v>0.17910000000000001</c:v>
                </c:pt>
                <c:pt idx="1193">
                  <c:v>0.18459999999999999</c:v>
                </c:pt>
                <c:pt idx="1194">
                  <c:v>0.18410000000000001</c:v>
                </c:pt>
                <c:pt idx="1195">
                  <c:v>0.18140000000000001</c:v>
                </c:pt>
                <c:pt idx="1196">
                  <c:v>0.17899999999999999</c:v>
                </c:pt>
                <c:pt idx="1197">
                  <c:v>0.1802</c:v>
                </c:pt>
                <c:pt idx="1198">
                  <c:v>0.18140000000000001</c:v>
                </c:pt>
                <c:pt idx="1199">
                  <c:v>0.18140000000000001</c:v>
                </c:pt>
                <c:pt idx="1200">
                  <c:v>0.17979999999999999</c:v>
                </c:pt>
                <c:pt idx="1201">
                  <c:v>0.18090000000000001</c:v>
                </c:pt>
                <c:pt idx="1202">
                  <c:v>0.17910000000000001</c:v>
                </c:pt>
                <c:pt idx="1203">
                  <c:v>0.18229999999999999</c:v>
                </c:pt>
                <c:pt idx="1204">
                  <c:v>0.18379999999999999</c:v>
                </c:pt>
                <c:pt idx="1205">
                  <c:v>0.18379999999999999</c:v>
                </c:pt>
                <c:pt idx="1206">
                  <c:v>0.18290000000000001</c:v>
                </c:pt>
                <c:pt idx="1207">
                  <c:v>0.182</c:v>
                </c:pt>
                <c:pt idx="1208">
                  <c:v>0.17929999999999999</c:v>
                </c:pt>
                <c:pt idx="1209">
                  <c:v>0.17699999999999999</c:v>
                </c:pt>
                <c:pt idx="1210">
                  <c:v>0.18149999999999999</c:v>
                </c:pt>
                <c:pt idx="1211">
                  <c:v>0.18229999999999999</c:v>
                </c:pt>
                <c:pt idx="1212">
                  <c:v>0.185</c:v>
                </c:pt>
                <c:pt idx="1213">
                  <c:v>0.1827</c:v>
                </c:pt>
                <c:pt idx="1214">
                  <c:v>0.17610000000000001</c:v>
                </c:pt>
                <c:pt idx="1215">
                  <c:v>0.17630000000000001</c:v>
                </c:pt>
                <c:pt idx="1216">
                  <c:v>0.17710000000000001</c:v>
                </c:pt>
                <c:pt idx="1217">
                  <c:v>0.1777</c:v>
                </c:pt>
                <c:pt idx="1218">
                  <c:v>0.1767</c:v>
                </c:pt>
                <c:pt idx="1219">
                  <c:v>0.1744</c:v>
                </c:pt>
                <c:pt idx="1220">
                  <c:v>0.17879999999999999</c:v>
                </c:pt>
                <c:pt idx="1221">
                  <c:v>0.17929999999999999</c:v>
                </c:pt>
                <c:pt idx="1222">
                  <c:v>0.18379999999999999</c:v>
                </c:pt>
                <c:pt idx="1223">
                  <c:v>0.18709999999999999</c:v>
                </c:pt>
                <c:pt idx="1224">
                  <c:v>0.18640000000000001</c:v>
                </c:pt>
                <c:pt idx="1225">
                  <c:v>0.18709999999999999</c:v>
                </c:pt>
                <c:pt idx="1226">
                  <c:v>0.18679999999999999</c:v>
                </c:pt>
                <c:pt idx="1227">
                  <c:v>0.18779999999999999</c:v>
                </c:pt>
                <c:pt idx="1228">
                  <c:v>0.18809999999999999</c:v>
                </c:pt>
                <c:pt idx="1229">
                  <c:v>0.18729999999999999</c:v>
                </c:pt>
                <c:pt idx="1230">
                  <c:v>0.187</c:v>
                </c:pt>
                <c:pt idx="1231">
                  <c:v>0.18609999999999999</c:v>
                </c:pt>
                <c:pt idx="1232">
                  <c:v>0.184</c:v>
                </c:pt>
                <c:pt idx="1233">
                  <c:v>0.18379999999999999</c:v>
                </c:pt>
                <c:pt idx="1234">
                  <c:v>0.1812</c:v>
                </c:pt>
                <c:pt idx="1235">
                  <c:v>0.18099999999999999</c:v>
                </c:pt>
                <c:pt idx="1236">
                  <c:v>0.17860000000000001</c:v>
                </c:pt>
                <c:pt idx="1237">
                  <c:v>0.17710000000000001</c:v>
                </c:pt>
                <c:pt idx="1238">
                  <c:v>0.1762</c:v>
                </c:pt>
                <c:pt idx="1239">
                  <c:v>0.1799</c:v>
                </c:pt>
                <c:pt idx="1240">
                  <c:v>0.1837</c:v>
                </c:pt>
                <c:pt idx="1241">
                  <c:v>0.18479999999999999</c:v>
                </c:pt>
                <c:pt idx="1242">
                  <c:v>0.18479999999999999</c:v>
                </c:pt>
                <c:pt idx="1243">
                  <c:v>0.18679999999999999</c:v>
                </c:pt>
                <c:pt idx="1244">
                  <c:v>0.1867</c:v>
                </c:pt>
                <c:pt idx="1245">
                  <c:v>0.19020000000000001</c:v>
                </c:pt>
                <c:pt idx="1246">
                  <c:v>0.193</c:v>
                </c:pt>
                <c:pt idx="1247">
                  <c:v>0.19389999999999999</c:v>
                </c:pt>
                <c:pt idx="1248">
                  <c:v>0.1961</c:v>
                </c:pt>
                <c:pt idx="1249">
                  <c:v>0.19819999999999999</c:v>
                </c:pt>
                <c:pt idx="1250">
                  <c:v>0.2031</c:v>
                </c:pt>
                <c:pt idx="1251">
                  <c:v>0.2026</c:v>
                </c:pt>
                <c:pt idx="1252">
                  <c:v>0.19719999999999999</c:v>
                </c:pt>
                <c:pt idx="1253">
                  <c:v>0.20069999999999999</c:v>
                </c:pt>
                <c:pt idx="1254">
                  <c:v>0.19889999999999999</c:v>
                </c:pt>
                <c:pt idx="1255">
                  <c:v>0.19750000000000001</c:v>
                </c:pt>
                <c:pt idx="1256">
                  <c:v>0.19550000000000001</c:v>
                </c:pt>
                <c:pt idx="1257">
                  <c:v>0.19550000000000001</c:v>
                </c:pt>
                <c:pt idx="1258">
                  <c:v>0.19309999999999999</c:v>
                </c:pt>
                <c:pt idx="1259">
                  <c:v>0.19439999999999999</c:v>
                </c:pt>
                <c:pt idx="1260">
                  <c:v>0.1951</c:v>
                </c:pt>
                <c:pt idx="1261">
                  <c:v>0.19600000000000001</c:v>
                </c:pt>
                <c:pt idx="1262">
                  <c:v>0.19620000000000001</c:v>
                </c:pt>
                <c:pt idx="1263">
                  <c:v>0.19489999999999999</c:v>
                </c:pt>
                <c:pt idx="1264">
                  <c:v>0.19570000000000001</c:v>
                </c:pt>
                <c:pt idx="1265">
                  <c:v>0.1938</c:v>
                </c:pt>
                <c:pt idx="1266">
                  <c:v>0.19489999999999999</c:v>
                </c:pt>
                <c:pt idx="1267">
                  <c:v>0.19689999999999999</c:v>
                </c:pt>
                <c:pt idx="1268">
                  <c:v>0.1961</c:v>
                </c:pt>
                <c:pt idx="1269">
                  <c:v>0.19370000000000001</c:v>
                </c:pt>
                <c:pt idx="1270">
                  <c:v>0.1971</c:v>
                </c:pt>
                <c:pt idx="1271">
                  <c:v>0.20319999999999999</c:v>
                </c:pt>
                <c:pt idx="1272">
                  <c:v>0.19919999999999999</c:v>
                </c:pt>
                <c:pt idx="1273">
                  <c:v>0.20119999999999999</c:v>
                </c:pt>
                <c:pt idx="1274">
                  <c:v>0.2019</c:v>
                </c:pt>
                <c:pt idx="1275">
                  <c:v>0.20619999999999999</c:v>
                </c:pt>
                <c:pt idx="1276">
                  <c:v>0.20749999999999999</c:v>
                </c:pt>
                <c:pt idx="1277">
                  <c:v>0.20910000000000001</c:v>
                </c:pt>
                <c:pt idx="1278">
                  <c:v>0.20979999999999999</c:v>
                </c:pt>
                <c:pt idx="1279">
                  <c:v>0.20979999999999999</c:v>
                </c:pt>
                <c:pt idx="1280">
                  <c:v>0.20269999999999999</c:v>
                </c:pt>
                <c:pt idx="1281">
                  <c:v>0.20150000000000001</c:v>
                </c:pt>
                <c:pt idx="1282">
                  <c:v>0.2031</c:v>
                </c:pt>
                <c:pt idx="1283">
                  <c:v>0.20050000000000001</c:v>
                </c:pt>
                <c:pt idx="1284">
                  <c:v>0.20050000000000001</c:v>
                </c:pt>
                <c:pt idx="1285">
                  <c:v>0.19719999999999999</c:v>
                </c:pt>
                <c:pt idx="1286">
                  <c:v>0.1968</c:v>
                </c:pt>
                <c:pt idx="1287">
                  <c:v>0.1968</c:v>
                </c:pt>
                <c:pt idx="1288">
                  <c:v>0.1968</c:v>
                </c:pt>
                <c:pt idx="1289">
                  <c:v>0.1966</c:v>
                </c:pt>
                <c:pt idx="1290">
                  <c:v>0.1966</c:v>
                </c:pt>
                <c:pt idx="1291">
                  <c:v>0.1968</c:v>
                </c:pt>
                <c:pt idx="1292">
                  <c:v>0.1968</c:v>
                </c:pt>
                <c:pt idx="1293">
                  <c:v>0.1968</c:v>
                </c:pt>
                <c:pt idx="1294">
                  <c:v>0.1968</c:v>
                </c:pt>
                <c:pt idx="1295">
                  <c:v>0.1966</c:v>
                </c:pt>
                <c:pt idx="1296">
                  <c:v>0.1966</c:v>
                </c:pt>
                <c:pt idx="1297">
                  <c:v>0.1966</c:v>
                </c:pt>
                <c:pt idx="1298">
                  <c:v>0.1968</c:v>
                </c:pt>
                <c:pt idx="1299">
                  <c:v>0.1968</c:v>
                </c:pt>
                <c:pt idx="1300">
                  <c:v>0.1986</c:v>
                </c:pt>
                <c:pt idx="1301">
                  <c:v>0.20069999999999999</c:v>
                </c:pt>
                <c:pt idx="1302">
                  <c:v>0.20730000000000001</c:v>
                </c:pt>
                <c:pt idx="1303">
                  <c:v>0.20730000000000001</c:v>
                </c:pt>
                <c:pt idx="1304">
                  <c:v>0.21199999999999999</c:v>
                </c:pt>
                <c:pt idx="1305">
                  <c:v>0.21779999999999999</c:v>
                </c:pt>
                <c:pt idx="1306">
                  <c:v>0.21360000000000001</c:v>
                </c:pt>
                <c:pt idx="1307">
                  <c:v>0.21679999999999999</c:v>
                </c:pt>
                <c:pt idx="1308">
                  <c:v>0.21299999999999999</c:v>
                </c:pt>
                <c:pt idx="1309">
                  <c:v>0.20649999999999999</c:v>
                </c:pt>
                <c:pt idx="1310">
                  <c:v>0.2087</c:v>
                </c:pt>
                <c:pt idx="1311">
                  <c:v>0.2117</c:v>
                </c:pt>
                <c:pt idx="1312">
                  <c:v>0.21460000000000001</c:v>
                </c:pt>
                <c:pt idx="1313">
                  <c:v>0.21529999999999999</c:v>
                </c:pt>
                <c:pt idx="1314">
                  <c:v>0.2127</c:v>
                </c:pt>
                <c:pt idx="1315">
                  <c:v>0.215</c:v>
                </c:pt>
                <c:pt idx="1316">
                  <c:v>0.21340000000000001</c:v>
                </c:pt>
                <c:pt idx="1317">
                  <c:v>0.21460000000000001</c:v>
                </c:pt>
                <c:pt idx="1318">
                  <c:v>0.214</c:v>
                </c:pt>
                <c:pt idx="1319">
                  <c:v>0.214</c:v>
                </c:pt>
                <c:pt idx="1320">
                  <c:v>0.2137</c:v>
                </c:pt>
                <c:pt idx="1321">
                  <c:v>0.21290000000000001</c:v>
                </c:pt>
                <c:pt idx="1322">
                  <c:v>0.2165</c:v>
                </c:pt>
                <c:pt idx="1323">
                  <c:v>0.2132</c:v>
                </c:pt>
                <c:pt idx="1324">
                  <c:v>0.2026</c:v>
                </c:pt>
                <c:pt idx="1325">
                  <c:v>0.2001</c:v>
                </c:pt>
                <c:pt idx="1326">
                  <c:v>0.2056</c:v>
                </c:pt>
                <c:pt idx="1327">
                  <c:v>0.2029</c:v>
                </c:pt>
                <c:pt idx="1328">
                  <c:v>0.20910000000000001</c:v>
                </c:pt>
                <c:pt idx="1329">
                  <c:v>0.20880000000000001</c:v>
                </c:pt>
                <c:pt idx="1330">
                  <c:v>0.21029999999999999</c:v>
                </c:pt>
                <c:pt idx="1331">
                  <c:v>0.20860000000000001</c:v>
                </c:pt>
                <c:pt idx="1332">
                  <c:v>0.21129999999999999</c:v>
                </c:pt>
                <c:pt idx="1333">
                  <c:v>0.21160000000000001</c:v>
                </c:pt>
                <c:pt idx="1334">
                  <c:v>0.20860000000000001</c:v>
                </c:pt>
                <c:pt idx="1335">
                  <c:v>0.20660000000000001</c:v>
                </c:pt>
                <c:pt idx="1336">
                  <c:v>0.20519999999999999</c:v>
                </c:pt>
                <c:pt idx="1337">
                  <c:v>0.20749999999999999</c:v>
                </c:pt>
                <c:pt idx="1338">
                  <c:v>0.20680000000000001</c:v>
                </c:pt>
                <c:pt idx="1339">
                  <c:v>0.2051</c:v>
                </c:pt>
                <c:pt idx="1340">
                  <c:v>0.20799999999999999</c:v>
                </c:pt>
                <c:pt idx="1341">
                  <c:v>0.21160000000000001</c:v>
                </c:pt>
                <c:pt idx="1342">
                  <c:v>0.20960000000000001</c:v>
                </c:pt>
                <c:pt idx="1343">
                  <c:v>0.2084</c:v>
                </c:pt>
                <c:pt idx="1344">
                  <c:v>0.2099</c:v>
                </c:pt>
                <c:pt idx="1345">
                  <c:v>0.2137</c:v>
                </c:pt>
                <c:pt idx="1346">
                  <c:v>0.21249999999999999</c:v>
                </c:pt>
                <c:pt idx="1347">
                  <c:v>0.21959999999999999</c:v>
                </c:pt>
                <c:pt idx="1348">
                  <c:v>0.223</c:v>
                </c:pt>
                <c:pt idx="1349">
                  <c:v>0.224</c:v>
                </c:pt>
                <c:pt idx="1350">
                  <c:v>0.22470000000000001</c:v>
                </c:pt>
                <c:pt idx="1351">
                  <c:v>0.22950000000000001</c:v>
                </c:pt>
                <c:pt idx="1352">
                  <c:v>0.23630000000000001</c:v>
                </c:pt>
                <c:pt idx="1353">
                  <c:v>0.23630000000000001</c:v>
                </c:pt>
                <c:pt idx="1354">
                  <c:v>0.2356</c:v>
                </c:pt>
                <c:pt idx="1355">
                  <c:v>0.2437</c:v>
                </c:pt>
                <c:pt idx="1356">
                  <c:v>0.24049999999999999</c:v>
                </c:pt>
                <c:pt idx="1357">
                  <c:v>0.2404</c:v>
                </c:pt>
                <c:pt idx="1358">
                  <c:v>0.24129999999999999</c:v>
                </c:pt>
                <c:pt idx="1359">
                  <c:v>0.24440000000000001</c:v>
                </c:pt>
                <c:pt idx="1360">
                  <c:v>0.24540000000000001</c:v>
                </c:pt>
                <c:pt idx="1361">
                  <c:v>0.2437</c:v>
                </c:pt>
                <c:pt idx="1362">
                  <c:v>0.2525</c:v>
                </c:pt>
                <c:pt idx="1363">
                  <c:v>0.24829999999999999</c:v>
                </c:pt>
                <c:pt idx="1364">
                  <c:v>0.2591</c:v>
                </c:pt>
                <c:pt idx="1365">
                  <c:v>0.26740000000000003</c:v>
                </c:pt>
                <c:pt idx="1366">
                  <c:v>0.2651</c:v>
                </c:pt>
                <c:pt idx="1367">
                  <c:v>0.26989999999999997</c:v>
                </c:pt>
                <c:pt idx="1368">
                  <c:v>0.26369999999999999</c:v>
                </c:pt>
                <c:pt idx="1369">
                  <c:v>0.25540000000000002</c:v>
                </c:pt>
                <c:pt idx="1370">
                  <c:v>0.25140000000000001</c:v>
                </c:pt>
                <c:pt idx="1371">
                  <c:v>0.25169999999999998</c:v>
                </c:pt>
                <c:pt idx="1372">
                  <c:v>0.25519999999999998</c:v>
                </c:pt>
                <c:pt idx="1373">
                  <c:v>0.26440000000000002</c:v>
                </c:pt>
                <c:pt idx="1374">
                  <c:v>0.26090000000000002</c:v>
                </c:pt>
                <c:pt idx="1375">
                  <c:v>0.26190000000000002</c:v>
                </c:pt>
                <c:pt idx="1376">
                  <c:v>0.2666</c:v>
                </c:pt>
                <c:pt idx="1377">
                  <c:v>0.26019999999999999</c:v>
                </c:pt>
                <c:pt idx="1378">
                  <c:v>0.26200000000000001</c:v>
                </c:pt>
                <c:pt idx="1379">
                  <c:v>0.26290000000000002</c:v>
                </c:pt>
                <c:pt idx="1380">
                  <c:v>0.26069999999999999</c:v>
                </c:pt>
                <c:pt idx="1381">
                  <c:v>0.2591</c:v>
                </c:pt>
                <c:pt idx="1382">
                  <c:v>0.25609999999999999</c:v>
                </c:pt>
                <c:pt idx="1383">
                  <c:v>0.25800000000000001</c:v>
                </c:pt>
                <c:pt idx="1384">
                  <c:v>0.25990000000000002</c:v>
                </c:pt>
                <c:pt idx="1385">
                  <c:v>0.2581</c:v>
                </c:pt>
                <c:pt idx="1386">
                  <c:v>0.25490000000000002</c:v>
                </c:pt>
                <c:pt idx="1387">
                  <c:v>0.24829999999999999</c:v>
                </c:pt>
                <c:pt idx="1388">
                  <c:v>0.25409999999999999</c:v>
                </c:pt>
                <c:pt idx="1389">
                  <c:v>0.25369999999999998</c:v>
                </c:pt>
                <c:pt idx="1390">
                  <c:v>0.25330000000000003</c:v>
                </c:pt>
                <c:pt idx="1391">
                  <c:v>0.25059999999999999</c:v>
                </c:pt>
                <c:pt idx="1392">
                  <c:v>0.24879999999999999</c:v>
                </c:pt>
                <c:pt idx="1393">
                  <c:v>0.24740000000000001</c:v>
                </c:pt>
                <c:pt idx="1394">
                  <c:v>0.24399999999999999</c:v>
                </c:pt>
                <c:pt idx="1395">
                  <c:v>0.24579999999999999</c:v>
                </c:pt>
                <c:pt idx="1396">
                  <c:v>0.245</c:v>
                </c:pt>
                <c:pt idx="1397">
                  <c:v>0.25480000000000003</c:v>
                </c:pt>
                <c:pt idx="1398">
                  <c:v>0.2535</c:v>
                </c:pt>
                <c:pt idx="1399">
                  <c:v>0.25469999999999998</c:v>
                </c:pt>
                <c:pt idx="1400">
                  <c:v>0.25130000000000002</c:v>
                </c:pt>
                <c:pt idx="1401">
                  <c:v>0.25840000000000002</c:v>
                </c:pt>
                <c:pt idx="1402">
                  <c:v>0.26</c:v>
                </c:pt>
                <c:pt idx="1403">
                  <c:v>0.26329999999999998</c:v>
                </c:pt>
                <c:pt idx="1404">
                  <c:v>0.26329999999999998</c:v>
                </c:pt>
                <c:pt idx="1405">
                  <c:v>0.26219999999999999</c:v>
                </c:pt>
                <c:pt idx="1406">
                  <c:v>0.25879999999999997</c:v>
                </c:pt>
                <c:pt idx="1407">
                  <c:v>0.24929999999999999</c:v>
                </c:pt>
                <c:pt idx="1408">
                  <c:v>0.24429999999999999</c:v>
                </c:pt>
                <c:pt idx="1409">
                  <c:v>0.23719999999999999</c:v>
                </c:pt>
                <c:pt idx="1410">
                  <c:v>0.23130000000000001</c:v>
                </c:pt>
                <c:pt idx="1411">
                  <c:v>0.22589999999999999</c:v>
                </c:pt>
                <c:pt idx="1412">
                  <c:v>0.222</c:v>
                </c:pt>
                <c:pt idx="1413">
                  <c:v>0.22919999999999999</c:v>
                </c:pt>
                <c:pt idx="1414">
                  <c:v>0.23330000000000001</c:v>
                </c:pt>
                <c:pt idx="1415">
                  <c:v>0.23319999999999999</c:v>
                </c:pt>
                <c:pt idx="1416">
                  <c:v>0.23499999999999999</c:v>
                </c:pt>
                <c:pt idx="1417">
                  <c:v>0.23250000000000001</c:v>
                </c:pt>
                <c:pt idx="1418">
                  <c:v>0.2351</c:v>
                </c:pt>
                <c:pt idx="1419">
                  <c:v>0.2344</c:v>
                </c:pt>
                <c:pt idx="1420">
                  <c:v>0.23519999999999999</c:v>
                </c:pt>
                <c:pt idx="1421">
                  <c:v>0.23910000000000001</c:v>
                </c:pt>
                <c:pt idx="1422">
                  <c:v>0.24010000000000001</c:v>
                </c:pt>
                <c:pt idx="1423">
                  <c:v>0.2429</c:v>
                </c:pt>
                <c:pt idx="1424">
                  <c:v>0.23799999999999999</c:v>
                </c:pt>
                <c:pt idx="1425">
                  <c:v>0.23860000000000001</c:v>
                </c:pt>
                <c:pt idx="1426">
                  <c:v>0.24210000000000001</c:v>
                </c:pt>
                <c:pt idx="1427">
                  <c:v>0.2467</c:v>
                </c:pt>
                <c:pt idx="1428">
                  <c:v>0.25090000000000001</c:v>
                </c:pt>
                <c:pt idx="1429">
                  <c:v>0.2492</c:v>
                </c:pt>
                <c:pt idx="1430">
                  <c:v>0.24709999999999999</c:v>
                </c:pt>
                <c:pt idx="1431">
                  <c:v>0.24390000000000001</c:v>
                </c:pt>
                <c:pt idx="1432">
                  <c:v>0.24429999999999999</c:v>
                </c:pt>
                <c:pt idx="1433">
                  <c:v>0.23899999999999999</c:v>
                </c:pt>
                <c:pt idx="1434">
                  <c:v>0.24110000000000001</c:v>
                </c:pt>
                <c:pt idx="1435">
                  <c:v>0.24390000000000001</c:v>
                </c:pt>
                <c:pt idx="1436">
                  <c:v>0.24199999999999999</c:v>
                </c:pt>
                <c:pt idx="1437">
                  <c:v>0.2402</c:v>
                </c:pt>
                <c:pt idx="1438">
                  <c:v>0.23680000000000001</c:v>
                </c:pt>
                <c:pt idx="1439">
                  <c:v>0.23669999999999999</c:v>
                </c:pt>
                <c:pt idx="1440">
                  <c:v>0.23449999999999999</c:v>
                </c:pt>
                <c:pt idx="1441">
                  <c:v>0.23710000000000001</c:v>
                </c:pt>
                <c:pt idx="1442">
                  <c:v>0.23949999999999999</c:v>
                </c:pt>
                <c:pt idx="1443">
                  <c:v>0.24379999999999999</c:v>
                </c:pt>
                <c:pt idx="1444">
                  <c:v>0.24049999999999999</c:v>
                </c:pt>
                <c:pt idx="1445">
                  <c:v>0.23769999999999999</c:v>
                </c:pt>
                <c:pt idx="1446">
                  <c:v>0.24199999999999999</c:v>
                </c:pt>
                <c:pt idx="1447">
                  <c:v>0.24</c:v>
                </c:pt>
                <c:pt idx="1448">
                  <c:v>0.23799999999999999</c:v>
                </c:pt>
                <c:pt idx="1449">
                  <c:v>0.23400000000000001</c:v>
                </c:pt>
                <c:pt idx="1450">
                  <c:v>0.23400000000000001</c:v>
                </c:pt>
                <c:pt idx="1451">
                  <c:v>0.23849999999999999</c:v>
                </c:pt>
                <c:pt idx="1452">
                  <c:v>0.2429</c:v>
                </c:pt>
                <c:pt idx="1453">
                  <c:v>0.24890000000000001</c:v>
                </c:pt>
                <c:pt idx="1454">
                  <c:v>0.25569999999999998</c:v>
                </c:pt>
                <c:pt idx="1455">
                  <c:v>0.2545</c:v>
                </c:pt>
                <c:pt idx="1456">
                  <c:v>0.25340000000000001</c:v>
                </c:pt>
                <c:pt idx="1457">
                  <c:v>0.25059999999999999</c:v>
                </c:pt>
                <c:pt idx="1458">
                  <c:v>0.2586</c:v>
                </c:pt>
                <c:pt idx="1459">
                  <c:v>0.2581</c:v>
                </c:pt>
                <c:pt idx="1460">
                  <c:v>0.26650000000000001</c:v>
                </c:pt>
                <c:pt idx="1461">
                  <c:v>0.26219999999999999</c:v>
                </c:pt>
                <c:pt idx="1462">
                  <c:v>0.26679999999999998</c:v>
                </c:pt>
                <c:pt idx="1463">
                  <c:v>0.26400000000000001</c:v>
                </c:pt>
                <c:pt idx="1464">
                  <c:v>0.26400000000000001</c:v>
                </c:pt>
                <c:pt idx="1465">
                  <c:v>0.26829999999999998</c:v>
                </c:pt>
                <c:pt idx="1466">
                  <c:v>0.26540000000000002</c:v>
                </c:pt>
                <c:pt idx="1467">
                  <c:v>0.26979999999999998</c:v>
                </c:pt>
                <c:pt idx="1468">
                  <c:v>0.26779999999999998</c:v>
                </c:pt>
                <c:pt idx="1469">
                  <c:v>0.27110000000000001</c:v>
                </c:pt>
                <c:pt idx="1470">
                  <c:v>0.27439999999999998</c:v>
                </c:pt>
                <c:pt idx="1471">
                  <c:v>0.26790000000000003</c:v>
                </c:pt>
                <c:pt idx="1472">
                  <c:v>0.26929999999999998</c:v>
                </c:pt>
                <c:pt idx="1473">
                  <c:v>0.2702</c:v>
                </c:pt>
                <c:pt idx="1474">
                  <c:v>0.2631</c:v>
                </c:pt>
                <c:pt idx="1475">
                  <c:v>0.26019999999999999</c:v>
                </c:pt>
                <c:pt idx="1476">
                  <c:v>0.26129999999999998</c:v>
                </c:pt>
                <c:pt idx="1477">
                  <c:v>0.26729999999999998</c:v>
                </c:pt>
                <c:pt idx="1478">
                  <c:v>0.2651</c:v>
                </c:pt>
                <c:pt idx="1479">
                  <c:v>0.26350000000000001</c:v>
                </c:pt>
                <c:pt idx="1480">
                  <c:v>0.25669999999999998</c:v>
                </c:pt>
                <c:pt idx="1481">
                  <c:v>0.25929999999999997</c:v>
                </c:pt>
                <c:pt idx="1482">
                  <c:v>0.2616</c:v>
                </c:pt>
                <c:pt idx="1483">
                  <c:v>0.26769999999999999</c:v>
                </c:pt>
                <c:pt idx="1484">
                  <c:v>0.27179999999999999</c:v>
                </c:pt>
                <c:pt idx="1485">
                  <c:v>0.27050000000000002</c:v>
                </c:pt>
                <c:pt idx="1486">
                  <c:v>0.26400000000000001</c:v>
                </c:pt>
                <c:pt idx="1487">
                  <c:v>0.26350000000000001</c:v>
                </c:pt>
                <c:pt idx="1488">
                  <c:v>0.27079999999999999</c:v>
                </c:pt>
                <c:pt idx="1489">
                  <c:v>0.27050000000000002</c:v>
                </c:pt>
                <c:pt idx="1490">
                  <c:v>0.27489999999999998</c:v>
                </c:pt>
                <c:pt idx="1491">
                  <c:v>0.27479999999999999</c:v>
                </c:pt>
                <c:pt idx="1492">
                  <c:v>0.27289999999999998</c:v>
                </c:pt>
                <c:pt idx="1493">
                  <c:v>0.26850000000000002</c:v>
                </c:pt>
                <c:pt idx="1494">
                  <c:v>0.27479999999999999</c:v>
                </c:pt>
                <c:pt idx="1495">
                  <c:v>0.27529999999999999</c:v>
                </c:pt>
                <c:pt idx="1496">
                  <c:v>0.27660000000000001</c:v>
                </c:pt>
                <c:pt idx="1497">
                  <c:v>0.27039999999999997</c:v>
                </c:pt>
                <c:pt idx="1498">
                  <c:v>0.2737</c:v>
                </c:pt>
                <c:pt idx="1499">
                  <c:v>0.26750000000000002</c:v>
                </c:pt>
                <c:pt idx="1500">
                  <c:v>0.27089999999999997</c:v>
                </c:pt>
                <c:pt idx="1501">
                  <c:v>0.27510000000000001</c:v>
                </c:pt>
                <c:pt idx="1502">
                  <c:v>0.27479999999999999</c:v>
                </c:pt>
                <c:pt idx="1503">
                  <c:v>0.27779999999999999</c:v>
                </c:pt>
                <c:pt idx="1504">
                  <c:v>0.2797</c:v>
                </c:pt>
                <c:pt idx="1505">
                  <c:v>0.27550000000000002</c:v>
                </c:pt>
                <c:pt idx="1506">
                  <c:v>0.27239999999999998</c:v>
                </c:pt>
                <c:pt idx="1507">
                  <c:v>0.2777</c:v>
                </c:pt>
                <c:pt idx="1508">
                  <c:v>0.27329999999999999</c:v>
                </c:pt>
                <c:pt idx="1509">
                  <c:v>0.27710000000000001</c:v>
                </c:pt>
                <c:pt idx="1510">
                  <c:v>0.27189999999999998</c:v>
                </c:pt>
                <c:pt idx="1511">
                  <c:v>0.27189999999999998</c:v>
                </c:pt>
                <c:pt idx="1512">
                  <c:v>0.27200000000000002</c:v>
                </c:pt>
                <c:pt idx="1513">
                  <c:v>0.27200000000000002</c:v>
                </c:pt>
                <c:pt idx="1514">
                  <c:v>0.27450000000000002</c:v>
                </c:pt>
                <c:pt idx="1515">
                  <c:v>0.26879999999999998</c:v>
                </c:pt>
                <c:pt idx="1516">
                  <c:v>0.26979999999999998</c:v>
                </c:pt>
                <c:pt idx="1517">
                  <c:v>0.27200000000000002</c:v>
                </c:pt>
                <c:pt idx="1518">
                  <c:v>0.26989999999999997</c:v>
                </c:pt>
                <c:pt idx="1519">
                  <c:v>0.26860000000000001</c:v>
                </c:pt>
                <c:pt idx="1520">
                  <c:v>0.26040000000000002</c:v>
                </c:pt>
                <c:pt idx="1521">
                  <c:v>0.25090000000000001</c:v>
                </c:pt>
                <c:pt idx="1522">
                  <c:v>0.2581</c:v>
                </c:pt>
                <c:pt idx="1523">
                  <c:v>0.24959999999999999</c:v>
                </c:pt>
                <c:pt idx="1524">
                  <c:v>0.2301</c:v>
                </c:pt>
                <c:pt idx="1525">
                  <c:v>0.23400000000000001</c:v>
                </c:pt>
                <c:pt idx="1526">
                  <c:v>0.22559999999999999</c:v>
                </c:pt>
                <c:pt idx="1527">
                  <c:v>0.22509999999999999</c:v>
                </c:pt>
                <c:pt idx="1528">
                  <c:v>0.21890000000000001</c:v>
                </c:pt>
                <c:pt idx="1529">
                  <c:v>0.22270000000000001</c:v>
                </c:pt>
                <c:pt idx="1530">
                  <c:v>0.21990000000000001</c:v>
                </c:pt>
                <c:pt idx="1531">
                  <c:v>0.2137</c:v>
                </c:pt>
                <c:pt idx="1532">
                  <c:v>0.214</c:v>
                </c:pt>
                <c:pt idx="1533">
                  <c:v>0.20880000000000001</c:v>
                </c:pt>
                <c:pt idx="1534">
                  <c:v>0.20419999999999999</c:v>
                </c:pt>
                <c:pt idx="1535">
                  <c:v>0.20569999999999999</c:v>
                </c:pt>
                <c:pt idx="1536">
                  <c:v>0.20569999999999999</c:v>
                </c:pt>
                <c:pt idx="1537">
                  <c:v>0.2046</c:v>
                </c:pt>
                <c:pt idx="1538">
                  <c:v>0.20630000000000001</c:v>
                </c:pt>
                <c:pt idx="1539">
                  <c:v>0.21870000000000001</c:v>
                </c:pt>
                <c:pt idx="1540">
                  <c:v>0.2049</c:v>
                </c:pt>
                <c:pt idx="1541">
                  <c:v>0.2049</c:v>
                </c:pt>
                <c:pt idx="1542">
                  <c:v>0.20860000000000001</c:v>
                </c:pt>
                <c:pt idx="1543">
                  <c:v>0.20910000000000001</c:v>
                </c:pt>
                <c:pt idx="1544">
                  <c:v>0.2114</c:v>
                </c:pt>
                <c:pt idx="1545">
                  <c:v>0.21099999999999999</c:v>
                </c:pt>
                <c:pt idx="1546">
                  <c:v>0.2177</c:v>
                </c:pt>
                <c:pt idx="1547">
                  <c:v>0.216</c:v>
                </c:pt>
                <c:pt idx="1548">
                  <c:v>0.214</c:v>
                </c:pt>
                <c:pt idx="1549">
                  <c:v>0.21840000000000001</c:v>
                </c:pt>
                <c:pt idx="1550">
                  <c:v>0.21629999999999999</c:v>
                </c:pt>
                <c:pt idx="1551">
                  <c:v>0.21629999999999999</c:v>
                </c:pt>
                <c:pt idx="1552">
                  <c:v>0.22600000000000001</c:v>
                </c:pt>
                <c:pt idx="1553">
                  <c:v>0.22339999999999999</c:v>
                </c:pt>
                <c:pt idx="1554">
                  <c:v>0.23169999999999999</c:v>
                </c:pt>
                <c:pt idx="1555">
                  <c:v>0.2356</c:v>
                </c:pt>
                <c:pt idx="1556">
                  <c:v>0.23499999999999999</c:v>
                </c:pt>
                <c:pt idx="1557">
                  <c:v>0.23719999999999999</c:v>
                </c:pt>
                <c:pt idx="1558">
                  <c:v>0.2445</c:v>
                </c:pt>
                <c:pt idx="1559">
                  <c:v>0.23960000000000001</c:v>
                </c:pt>
                <c:pt idx="1560">
                  <c:v>0.2384</c:v>
                </c:pt>
                <c:pt idx="1561">
                  <c:v>0.23499999999999999</c:v>
                </c:pt>
                <c:pt idx="1562">
                  <c:v>0.24010000000000001</c:v>
                </c:pt>
                <c:pt idx="1563">
                  <c:v>0.24060000000000001</c:v>
                </c:pt>
                <c:pt idx="1564">
                  <c:v>0.23499999999999999</c:v>
                </c:pt>
                <c:pt idx="1565">
                  <c:v>0.23930000000000001</c:v>
                </c:pt>
                <c:pt idx="1566">
                  <c:v>0.2354</c:v>
                </c:pt>
                <c:pt idx="1567">
                  <c:v>0.2359</c:v>
                </c:pt>
                <c:pt idx="1568">
                  <c:v>0.23830000000000001</c:v>
                </c:pt>
                <c:pt idx="1569">
                  <c:v>0.23949999999999999</c:v>
                </c:pt>
                <c:pt idx="1570">
                  <c:v>0.2399</c:v>
                </c:pt>
                <c:pt idx="1571">
                  <c:v>0.2361</c:v>
                </c:pt>
                <c:pt idx="1572">
                  <c:v>0.23300000000000001</c:v>
                </c:pt>
                <c:pt idx="1573">
                  <c:v>0.23400000000000001</c:v>
                </c:pt>
                <c:pt idx="1574">
                  <c:v>0.2276</c:v>
                </c:pt>
                <c:pt idx="1575">
                  <c:v>0.23050000000000001</c:v>
                </c:pt>
                <c:pt idx="1576">
                  <c:v>0.23050000000000001</c:v>
                </c:pt>
                <c:pt idx="1577">
                  <c:v>0.22789999999999999</c:v>
                </c:pt>
                <c:pt idx="1578">
                  <c:v>0.22839999999999999</c:v>
                </c:pt>
                <c:pt idx="1579">
                  <c:v>0.2283</c:v>
                </c:pt>
                <c:pt idx="1580">
                  <c:v>0.22620000000000001</c:v>
                </c:pt>
                <c:pt idx="1581">
                  <c:v>0.23100000000000001</c:v>
                </c:pt>
                <c:pt idx="1582">
                  <c:v>0.23630000000000001</c:v>
                </c:pt>
                <c:pt idx="1583">
                  <c:v>0.2399</c:v>
                </c:pt>
                <c:pt idx="1584">
                  <c:v>0.22559999999999999</c:v>
                </c:pt>
                <c:pt idx="1585">
                  <c:v>0.21</c:v>
                </c:pt>
                <c:pt idx="1586">
                  <c:v>0.20580000000000001</c:v>
                </c:pt>
                <c:pt idx="1587">
                  <c:v>0.20860000000000001</c:v>
                </c:pt>
                <c:pt idx="1588">
                  <c:v>0.2145</c:v>
                </c:pt>
                <c:pt idx="1589">
                  <c:v>0.21299999999999999</c:v>
                </c:pt>
                <c:pt idx="1590">
                  <c:v>0.21179999999999999</c:v>
                </c:pt>
                <c:pt idx="1591">
                  <c:v>0.2195</c:v>
                </c:pt>
                <c:pt idx="1592">
                  <c:v>0.21890000000000001</c:v>
                </c:pt>
                <c:pt idx="1593">
                  <c:v>0.21929999999999999</c:v>
                </c:pt>
                <c:pt idx="1594">
                  <c:v>0.2177</c:v>
                </c:pt>
                <c:pt idx="1595">
                  <c:v>0.2213</c:v>
                </c:pt>
                <c:pt idx="1596">
                  <c:v>0.22159999999999999</c:v>
                </c:pt>
                <c:pt idx="1597">
                  <c:v>0.21640000000000001</c:v>
                </c:pt>
                <c:pt idx="1598">
                  <c:v>0.2177</c:v>
                </c:pt>
                <c:pt idx="1599">
                  <c:v>0.22059999999999999</c:v>
                </c:pt>
                <c:pt idx="1600">
                  <c:v>0.21859999999999999</c:v>
                </c:pt>
                <c:pt idx="1601">
                  <c:v>0.21970000000000001</c:v>
                </c:pt>
                <c:pt idx="1602">
                  <c:v>0.22389999999999999</c:v>
                </c:pt>
                <c:pt idx="1603">
                  <c:v>0.22170000000000001</c:v>
                </c:pt>
                <c:pt idx="1604">
                  <c:v>0.22509999999999999</c:v>
                </c:pt>
                <c:pt idx="1605">
                  <c:v>0.22509999999999999</c:v>
                </c:pt>
                <c:pt idx="1606">
                  <c:v>0.2263</c:v>
                </c:pt>
                <c:pt idx="1607">
                  <c:v>0.22320000000000001</c:v>
                </c:pt>
                <c:pt idx="1608">
                  <c:v>0.22220000000000001</c:v>
                </c:pt>
                <c:pt idx="1609">
                  <c:v>0.22359999999999999</c:v>
                </c:pt>
                <c:pt idx="1610">
                  <c:v>0.21940000000000001</c:v>
                </c:pt>
                <c:pt idx="1611">
                  <c:v>0.21590000000000001</c:v>
                </c:pt>
                <c:pt idx="1612">
                  <c:v>0.21490000000000001</c:v>
                </c:pt>
                <c:pt idx="1613">
                  <c:v>0.2142</c:v>
                </c:pt>
                <c:pt idx="1614">
                  <c:v>0.21460000000000001</c:v>
                </c:pt>
                <c:pt idx="1615">
                  <c:v>0.20849999999999999</c:v>
                </c:pt>
                <c:pt idx="1616">
                  <c:v>0.20449999999999999</c:v>
                </c:pt>
                <c:pt idx="1617">
                  <c:v>0.20019999999999999</c:v>
                </c:pt>
                <c:pt idx="1618">
                  <c:v>0.1963</c:v>
                </c:pt>
                <c:pt idx="1619">
                  <c:v>0.19320000000000001</c:v>
                </c:pt>
                <c:pt idx="1620">
                  <c:v>0.19589999999999999</c:v>
                </c:pt>
                <c:pt idx="1621">
                  <c:v>0.1973</c:v>
                </c:pt>
                <c:pt idx="1622">
                  <c:v>0.19800000000000001</c:v>
                </c:pt>
                <c:pt idx="1623">
                  <c:v>0.19869999999999999</c:v>
                </c:pt>
                <c:pt idx="1624">
                  <c:v>0.19869999999999999</c:v>
                </c:pt>
                <c:pt idx="1625">
                  <c:v>0.19420000000000001</c:v>
                </c:pt>
                <c:pt idx="1626">
                  <c:v>0.19409999999999999</c:v>
                </c:pt>
                <c:pt idx="1627">
                  <c:v>0.19719999999999999</c:v>
                </c:pt>
                <c:pt idx="1628">
                  <c:v>0.19220000000000001</c:v>
                </c:pt>
                <c:pt idx="1629">
                  <c:v>0.19259999999999999</c:v>
                </c:pt>
                <c:pt idx="1630">
                  <c:v>0.19320000000000001</c:v>
                </c:pt>
                <c:pt idx="1631">
                  <c:v>0.1948</c:v>
                </c:pt>
                <c:pt idx="1632">
                  <c:v>0.19950000000000001</c:v>
                </c:pt>
                <c:pt idx="1633">
                  <c:v>0.1963</c:v>
                </c:pt>
                <c:pt idx="1634">
                  <c:v>0.19550000000000001</c:v>
                </c:pt>
                <c:pt idx="1635">
                  <c:v>0.19259999999999999</c:v>
                </c:pt>
                <c:pt idx="1636">
                  <c:v>0.1862</c:v>
                </c:pt>
                <c:pt idx="1637">
                  <c:v>0.189</c:v>
                </c:pt>
                <c:pt idx="1638">
                  <c:v>0.18629999999999999</c:v>
                </c:pt>
                <c:pt idx="1639">
                  <c:v>0.18329999999999999</c:v>
                </c:pt>
                <c:pt idx="1640">
                  <c:v>0.18099999999999999</c:v>
                </c:pt>
                <c:pt idx="1641">
                  <c:v>0.1867</c:v>
                </c:pt>
                <c:pt idx="1642">
                  <c:v>0.1857</c:v>
                </c:pt>
                <c:pt idx="1643">
                  <c:v>0.18210000000000001</c:v>
                </c:pt>
                <c:pt idx="1644">
                  <c:v>0.18260000000000001</c:v>
                </c:pt>
                <c:pt idx="1645">
                  <c:v>0.1845</c:v>
                </c:pt>
                <c:pt idx="1646">
                  <c:v>0.1845</c:v>
                </c:pt>
                <c:pt idx="1647">
                  <c:v>0.187</c:v>
                </c:pt>
                <c:pt idx="1648">
                  <c:v>0.1832</c:v>
                </c:pt>
                <c:pt idx="1649">
                  <c:v>0.18160000000000001</c:v>
                </c:pt>
                <c:pt idx="1650">
                  <c:v>0.1832</c:v>
                </c:pt>
                <c:pt idx="1651">
                  <c:v>0.18770000000000001</c:v>
                </c:pt>
                <c:pt idx="1652">
                  <c:v>0.18859999999999999</c:v>
                </c:pt>
                <c:pt idx="1653">
                  <c:v>0.19139999999999999</c:v>
                </c:pt>
                <c:pt idx="1654">
                  <c:v>0.19220000000000001</c:v>
                </c:pt>
                <c:pt idx="1655">
                  <c:v>0.18959999999999999</c:v>
                </c:pt>
                <c:pt idx="1656">
                  <c:v>0.18609999999999999</c:v>
                </c:pt>
                <c:pt idx="1657">
                  <c:v>0.18740000000000001</c:v>
                </c:pt>
                <c:pt idx="1658">
                  <c:v>0.19089999999999999</c:v>
                </c:pt>
                <c:pt idx="1659">
                  <c:v>0.1953</c:v>
                </c:pt>
                <c:pt idx="1660">
                  <c:v>0.19350000000000001</c:v>
                </c:pt>
                <c:pt idx="1661">
                  <c:v>0.18959999999999999</c:v>
                </c:pt>
                <c:pt idx="1662">
                  <c:v>0.189</c:v>
                </c:pt>
                <c:pt idx="1663">
                  <c:v>0.189</c:v>
                </c:pt>
                <c:pt idx="1664">
                  <c:v>0.18920000000000001</c:v>
                </c:pt>
                <c:pt idx="1665">
                  <c:v>0.18990000000000001</c:v>
                </c:pt>
                <c:pt idx="1666">
                  <c:v>0.19420000000000001</c:v>
                </c:pt>
                <c:pt idx="1667">
                  <c:v>0.19170000000000001</c:v>
                </c:pt>
                <c:pt idx="1668">
                  <c:v>0.19259999999999999</c:v>
                </c:pt>
                <c:pt idx="1669">
                  <c:v>0.20150000000000001</c:v>
                </c:pt>
                <c:pt idx="1670">
                  <c:v>0.20330000000000001</c:v>
                </c:pt>
                <c:pt idx="1671">
                  <c:v>0.20169999999999999</c:v>
                </c:pt>
                <c:pt idx="1672">
                  <c:v>0.20619999999999999</c:v>
                </c:pt>
                <c:pt idx="1673">
                  <c:v>0.20519999999999999</c:v>
                </c:pt>
                <c:pt idx="1674">
                  <c:v>0.20519999999999999</c:v>
                </c:pt>
                <c:pt idx="1675">
                  <c:v>0.20080000000000001</c:v>
                </c:pt>
                <c:pt idx="1676">
                  <c:v>0.20219999999999999</c:v>
                </c:pt>
                <c:pt idx="1677">
                  <c:v>0.19650000000000001</c:v>
                </c:pt>
                <c:pt idx="1678">
                  <c:v>0.1978</c:v>
                </c:pt>
                <c:pt idx="1679">
                  <c:v>0.19420000000000001</c:v>
                </c:pt>
                <c:pt idx="1680">
                  <c:v>0.192</c:v>
                </c:pt>
                <c:pt idx="1681">
                  <c:v>0.19789999999999999</c:v>
                </c:pt>
                <c:pt idx="1682">
                  <c:v>0.1963</c:v>
                </c:pt>
                <c:pt idx="1683">
                  <c:v>0.19370000000000001</c:v>
                </c:pt>
                <c:pt idx="1684">
                  <c:v>0.19009999999999999</c:v>
                </c:pt>
                <c:pt idx="1685">
                  <c:v>0.1867</c:v>
                </c:pt>
                <c:pt idx="1686">
                  <c:v>0.1832</c:v>
                </c:pt>
                <c:pt idx="1687">
                  <c:v>0.18179999999999999</c:v>
                </c:pt>
                <c:pt idx="1688">
                  <c:v>0.17949999999999999</c:v>
                </c:pt>
                <c:pt idx="1689">
                  <c:v>0.18659999999999999</c:v>
                </c:pt>
                <c:pt idx="1690">
                  <c:v>0.18479999999999999</c:v>
                </c:pt>
                <c:pt idx="1691">
                  <c:v>0.19</c:v>
                </c:pt>
                <c:pt idx="1692">
                  <c:v>0.1913</c:v>
                </c:pt>
                <c:pt idx="1693">
                  <c:v>0.19020000000000001</c:v>
                </c:pt>
                <c:pt idx="1694">
                  <c:v>0.1857</c:v>
                </c:pt>
                <c:pt idx="1695">
                  <c:v>0.1817</c:v>
                </c:pt>
                <c:pt idx="1696">
                  <c:v>0.18029999999999999</c:v>
                </c:pt>
                <c:pt idx="1697">
                  <c:v>0.17849999999999999</c:v>
                </c:pt>
                <c:pt idx="1698">
                  <c:v>0.18079999999999999</c:v>
                </c:pt>
                <c:pt idx="1699">
                  <c:v>0.1852</c:v>
                </c:pt>
                <c:pt idx="1700">
                  <c:v>0.18540000000000001</c:v>
                </c:pt>
                <c:pt idx="1701">
                  <c:v>0.18340000000000001</c:v>
                </c:pt>
                <c:pt idx="1702">
                  <c:v>0.18360000000000001</c:v>
                </c:pt>
                <c:pt idx="1703">
                  <c:v>0.17979999999999999</c:v>
                </c:pt>
                <c:pt idx="1704">
                  <c:v>0.17829999999999999</c:v>
                </c:pt>
                <c:pt idx="1705">
                  <c:v>0.18099999999999999</c:v>
                </c:pt>
                <c:pt idx="1706">
                  <c:v>0.1802</c:v>
                </c:pt>
                <c:pt idx="1707">
                  <c:v>0.1757</c:v>
                </c:pt>
                <c:pt idx="1708">
                  <c:v>0.17730000000000001</c:v>
                </c:pt>
                <c:pt idx="1709">
                  <c:v>0.1782</c:v>
                </c:pt>
                <c:pt idx="1710">
                  <c:v>0.184</c:v>
                </c:pt>
                <c:pt idx="1711">
                  <c:v>0.1903</c:v>
                </c:pt>
                <c:pt idx="1712">
                  <c:v>0.19670000000000001</c:v>
                </c:pt>
                <c:pt idx="1713">
                  <c:v>0.19589999999999999</c:v>
                </c:pt>
                <c:pt idx="1714">
                  <c:v>0.19839999999999999</c:v>
                </c:pt>
                <c:pt idx="1715">
                  <c:v>0.19439999999999999</c:v>
                </c:pt>
                <c:pt idx="1716">
                  <c:v>0.19439999999999999</c:v>
                </c:pt>
                <c:pt idx="1717">
                  <c:v>0.19400000000000001</c:v>
                </c:pt>
                <c:pt idx="1718">
                  <c:v>0.19259999999999999</c:v>
                </c:pt>
                <c:pt idx="1719">
                  <c:v>0.19270000000000001</c:v>
                </c:pt>
                <c:pt idx="1720">
                  <c:v>0.189</c:v>
                </c:pt>
                <c:pt idx="1721">
                  <c:v>0.18820000000000001</c:v>
                </c:pt>
                <c:pt idx="1722">
                  <c:v>0.18429999999999999</c:v>
                </c:pt>
              </c:numCache>
            </c:numRef>
          </c:val>
          <c:smooth val="0"/>
          <c:extLst>
            <c:ext xmlns:c16="http://schemas.microsoft.com/office/drawing/2014/chart" uri="{C3380CC4-5D6E-409C-BE32-E72D297353CC}">
              <c16:uniqueId val="{00000000-4B40-4F65-9469-3D5EF4299A1B}"/>
            </c:ext>
          </c:extLst>
        </c:ser>
        <c:dLbls>
          <c:showLegendKey val="0"/>
          <c:showVal val="0"/>
          <c:showCatName val="0"/>
          <c:showSerName val="0"/>
          <c:showPercent val="0"/>
          <c:showBubbleSize val="0"/>
        </c:dLbls>
        <c:smooth val="0"/>
        <c:axId val="780059104"/>
        <c:axId val="780047872"/>
      </c:lineChart>
      <c:dateAx>
        <c:axId val="7800591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47872"/>
        <c:crosses val="autoZero"/>
        <c:auto val="1"/>
        <c:lblOffset val="100"/>
        <c:baseTimeUnit val="days"/>
      </c:dateAx>
      <c:valAx>
        <c:axId val="78004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5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'Country risk'!$G$7</c:f>
              <c:strCache>
                <c:ptCount val="1"/>
                <c:pt idx="0">
                  <c:v>A+ to A-</c:v>
                </c:pt>
              </c:strCache>
            </c:strRef>
          </c:tx>
          <c:spPr>
            <a:solidFill>
              <a:schemeClr val="accent1"/>
            </a:solidFill>
            <a:ln>
              <a:noFill/>
            </a:ln>
            <a:effectLst/>
          </c:spPr>
          <c:invertIfNegative val="0"/>
          <c:cat>
            <c:strRef>
              <c:f>'Country risk'!$B$8:$F$10</c:f>
              <c:strCache>
                <c:ptCount val="3"/>
                <c:pt idx="0">
                  <c:v>Moody</c:v>
                </c:pt>
                <c:pt idx="1">
                  <c:v>Fitch</c:v>
                </c:pt>
                <c:pt idx="2">
                  <c:v>S&amp;P</c:v>
                </c:pt>
              </c:strCache>
            </c:strRef>
          </c:cat>
          <c:val>
            <c:numRef>
              <c:f>'Country risk'!$G$8:$G$10</c:f>
              <c:numCache>
                <c:formatCode>General</c:formatCode>
                <c:ptCount val="3"/>
                <c:pt idx="0">
                  <c:v>0</c:v>
                </c:pt>
                <c:pt idx="1">
                  <c:v>0</c:v>
                </c:pt>
                <c:pt idx="2">
                  <c:v>0</c:v>
                </c:pt>
              </c:numCache>
            </c:numRef>
          </c:val>
          <c:extLst>
            <c:ext xmlns:c16="http://schemas.microsoft.com/office/drawing/2014/chart" uri="{C3380CC4-5D6E-409C-BE32-E72D297353CC}">
              <c16:uniqueId val="{00000000-B81D-46F1-8A9F-245C293E43B0}"/>
            </c:ext>
          </c:extLst>
        </c:ser>
        <c:ser>
          <c:idx val="1"/>
          <c:order val="1"/>
          <c:tx>
            <c:strRef>
              <c:f>'Country risk'!$H$7</c:f>
              <c:strCache>
                <c:ptCount val="1"/>
                <c:pt idx="0">
                  <c:v>AA+ to AA-</c:v>
                </c:pt>
              </c:strCache>
            </c:strRef>
          </c:tx>
          <c:spPr>
            <a:solidFill>
              <a:schemeClr val="accent2"/>
            </a:solidFill>
            <a:ln>
              <a:noFill/>
            </a:ln>
            <a:effectLst/>
          </c:spPr>
          <c:invertIfNegative val="0"/>
          <c:cat>
            <c:strRef>
              <c:f>'Country risk'!$B$8:$F$10</c:f>
              <c:strCache>
                <c:ptCount val="3"/>
                <c:pt idx="0">
                  <c:v>Moody</c:v>
                </c:pt>
                <c:pt idx="1">
                  <c:v>Fitch</c:v>
                </c:pt>
                <c:pt idx="2">
                  <c:v>S&amp;P</c:v>
                </c:pt>
              </c:strCache>
            </c:strRef>
          </c:cat>
          <c:val>
            <c:numRef>
              <c:f>'Country risk'!$H$8:$H$10</c:f>
              <c:numCache>
                <c:formatCode>General</c:formatCode>
                <c:ptCount val="3"/>
              </c:numCache>
            </c:numRef>
          </c:val>
          <c:extLst>
            <c:ext xmlns:c16="http://schemas.microsoft.com/office/drawing/2014/chart" uri="{C3380CC4-5D6E-409C-BE32-E72D297353CC}">
              <c16:uniqueId val="{00000001-B81D-46F1-8A9F-245C293E43B0}"/>
            </c:ext>
          </c:extLst>
        </c:ser>
        <c:dLbls>
          <c:showLegendKey val="0"/>
          <c:showVal val="0"/>
          <c:showCatName val="0"/>
          <c:showSerName val="0"/>
          <c:showPercent val="0"/>
          <c:showBubbleSize val="0"/>
        </c:dLbls>
        <c:gapWidth val="219"/>
        <c:overlap val="-27"/>
        <c:axId val="883812336"/>
        <c:axId val="883830224"/>
      </c:barChart>
      <c:lineChart>
        <c:grouping val="standard"/>
        <c:varyColors val="0"/>
        <c:ser>
          <c:idx val="2"/>
          <c:order val="2"/>
          <c:tx>
            <c:strRef>
              <c:f>'Country risk'!$I$7</c:f>
              <c:strCache>
                <c:ptCount val="1"/>
                <c:pt idx="0">
                  <c:v>AAA</c:v>
                </c:pt>
              </c:strCache>
            </c:strRef>
          </c:tx>
          <c:spPr>
            <a:ln w="28575" cap="rnd">
              <a:solidFill>
                <a:schemeClr val="accent3"/>
              </a:solidFill>
              <a:round/>
            </a:ln>
            <a:effectLst/>
          </c:spPr>
          <c:marker>
            <c:symbol val="none"/>
          </c:marker>
          <c:cat>
            <c:strRef>
              <c:f>'Country risk'!$B$8:$F$10</c:f>
              <c:strCache>
                <c:ptCount val="3"/>
                <c:pt idx="0">
                  <c:v>Moody</c:v>
                </c:pt>
                <c:pt idx="1">
                  <c:v>Fitch</c:v>
                </c:pt>
                <c:pt idx="2">
                  <c:v>S&amp;P</c:v>
                </c:pt>
              </c:strCache>
            </c:strRef>
          </c:cat>
          <c:val>
            <c:numRef>
              <c:f>'Country risk'!$I$8:$I$10</c:f>
              <c:numCache>
                <c:formatCode>General</c:formatCode>
                <c:ptCount val="3"/>
              </c:numCache>
            </c:numRef>
          </c:val>
          <c:smooth val="0"/>
          <c:extLst>
            <c:ext xmlns:c16="http://schemas.microsoft.com/office/drawing/2014/chart" uri="{C3380CC4-5D6E-409C-BE32-E72D297353CC}">
              <c16:uniqueId val="{00000002-B81D-46F1-8A9F-245C293E43B0}"/>
            </c:ext>
          </c:extLst>
        </c:ser>
        <c:dLbls>
          <c:showLegendKey val="0"/>
          <c:showVal val="0"/>
          <c:showCatName val="0"/>
          <c:showSerName val="0"/>
          <c:showPercent val="0"/>
          <c:showBubbleSize val="0"/>
        </c:dLbls>
        <c:marker val="1"/>
        <c:smooth val="0"/>
        <c:axId val="883812336"/>
        <c:axId val="883830224"/>
      </c:lineChart>
      <c:catAx>
        <c:axId val="8838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30224"/>
        <c:crosses val="autoZero"/>
        <c:auto val="1"/>
        <c:lblAlgn val="ctr"/>
        <c:lblOffset val="100"/>
        <c:noMultiLvlLbl val="0"/>
      </c:catAx>
      <c:valAx>
        <c:axId val="88383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1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[1]FCFE!$A$3</c:f>
              <c:strCache>
                <c:ptCount val="1"/>
                <c:pt idx="0">
                  <c:v>Total revenue</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[1]FCFE!$B$2:$K$2</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[1]FCFE!$B$3:$K$3</c:f>
              <c:numCache>
                <c:formatCode>General</c:formatCode>
                <c:ptCount val="10"/>
                <c:pt idx="0">
                  <c:v>52561.95</c:v>
                </c:pt>
                <c:pt idx="1">
                  <c:v>56318.123</c:v>
                </c:pt>
                <c:pt idx="2">
                  <c:v>59636.286</c:v>
                </c:pt>
                <c:pt idx="3">
                  <c:v>60919.165000000001</c:v>
                </c:pt>
                <c:pt idx="4">
                  <c:v>59956.247000000003</c:v>
                </c:pt>
                <c:pt idx="5">
                  <c:v>60528.348398094349</c:v>
                </c:pt>
                <c:pt idx="6">
                  <c:v>61223.42902614129</c:v>
                </c:pt>
                <c:pt idx="7">
                  <c:v>62003.395290794142</c:v>
                </c:pt>
                <c:pt idx="8">
                  <c:v>62869.367433309628</c:v>
                </c:pt>
                <c:pt idx="9">
                  <c:v>63823.005015414266</c:v>
                </c:pt>
              </c:numCache>
            </c:numRef>
          </c:val>
          <c:extLst>
            <c:ext xmlns:c16="http://schemas.microsoft.com/office/drawing/2014/chart" uri="{C3380CC4-5D6E-409C-BE32-E72D297353CC}">
              <c16:uniqueId val="{00000000-CC86-495D-A0D1-CF3733E2A5E4}"/>
            </c:ext>
          </c:extLst>
        </c:ser>
        <c:dLbls>
          <c:showLegendKey val="0"/>
          <c:showVal val="0"/>
          <c:showCatName val="0"/>
          <c:showSerName val="0"/>
          <c:showPercent val="0"/>
          <c:showBubbleSize val="0"/>
        </c:dLbls>
        <c:gapWidth val="100"/>
        <c:overlap val="-24"/>
        <c:axId val="759337376"/>
        <c:axId val="464356272"/>
      </c:barChart>
      <c:catAx>
        <c:axId val="759337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4356272"/>
        <c:crosses val="autoZero"/>
        <c:auto val="1"/>
        <c:lblAlgn val="ctr"/>
        <c:lblOffset val="100"/>
        <c:noMultiLvlLbl val="0"/>
      </c:catAx>
      <c:valAx>
        <c:axId val="46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93373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[1]FCFE!$A$48</c:f>
              <c:strCache>
                <c:ptCount val="1"/>
                <c:pt idx="0">
                  <c:v>COST BREAKDOWN</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[1]FCFE!$B$47:$K$47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[1]FCFE!$B$48:$K$48</c:f>
              <c:numCache>
                <c:formatCode>General</c:formatCode>
                <c:ptCount val="10"/>
                <c:pt idx="0">
                  <c:v>42378.753979909998</c:v>
                </c:pt>
                <c:pt idx="1">
                  <c:v>45758.074290750003</c:v>
                </c:pt>
                <c:pt idx="2">
                  <c:v>34956.943557933002</c:v>
                </c:pt>
                <c:pt idx="3">
                  <c:v>50241.584443779007</c:v>
                </c:pt>
                <c:pt idx="4">
                  <c:v>51354.195901306994</c:v>
                </c:pt>
                <c:pt idx="5">
                  <c:v>49067.986032907793</c:v>
                </c:pt>
                <c:pt idx="6">
                  <c:v>49745.939876931443</c:v>
                </c:pt>
                <c:pt idx="7">
                  <c:v>50665.151857869918</c:v>
                </c:pt>
                <c:pt idx="8">
                  <c:v>51284.803720800359</c:v>
                </c:pt>
                <c:pt idx="9">
                  <c:v>51937.319563267723</c:v>
                </c:pt>
              </c:numCache>
            </c:numRef>
          </c:val>
          <c:extLst>
            <c:ext xmlns:c16="http://schemas.microsoft.com/office/drawing/2014/chart" uri="{C3380CC4-5D6E-409C-BE32-E72D297353CC}">
              <c16:uniqueId val="{00000000-E8EE-4F86-925E-255E9F0291E5}"/>
            </c:ext>
          </c:extLst>
        </c:ser>
        <c:dLbls>
          <c:showLegendKey val="0"/>
          <c:showVal val="0"/>
          <c:showCatName val="0"/>
          <c:showSerName val="0"/>
          <c:showPercent val="0"/>
          <c:showBubbleSize val="0"/>
        </c:dLbls>
        <c:gapWidth val="100"/>
        <c:overlap val="-24"/>
        <c:axId val="1223745711"/>
        <c:axId val="1601731487"/>
      </c:barChart>
      <c:catAx>
        <c:axId val="12237457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01731487"/>
        <c:crosses val="autoZero"/>
        <c:auto val="1"/>
        <c:lblAlgn val="ctr"/>
        <c:lblOffset val="100"/>
        <c:noMultiLvlLbl val="0"/>
      </c:catAx>
      <c:valAx>
        <c:axId val="1601731487"/>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3745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052188181513166E-2"/>
          <c:y val="7.407407407407407E-2"/>
          <c:w val="0.8705620823547503"/>
          <c:h val="0.85885024788568098"/>
        </c:manualLayout>
      </c:layout>
      <c:barChart>
        <c:barDir val="col"/>
        <c:grouping val="clustered"/>
        <c:varyColors val="0"/>
        <c:ser>
          <c:idx val="0"/>
          <c:order val="0"/>
          <c:tx>
            <c:strRef>
              <c:f>[1]FCFE!$T$28</c:f>
              <c:strCache>
                <c:ptCount val="1"/>
                <c:pt idx="0">
                  <c:v>Drinking milk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[1]FCFE!$U$27:$AD$27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[1]FCFE!$U$28:$AD$28</c:f>
              <c:numCache>
                <c:formatCode>General</c:formatCode>
                <c:ptCount val="10"/>
                <c:pt idx="0">
                  <c:v>22610.49491097089</c:v>
                </c:pt>
                <c:pt idx="1">
                  <c:v>25078.761399893556</c:v>
                </c:pt>
                <c:pt idx="2">
                  <c:v>26708.310166984938</c:v>
                </c:pt>
                <c:pt idx="3">
                  <c:v>27015.499627043584</c:v>
                </c:pt>
                <c:pt idx="4">
                  <c:v>25975.339980175617</c:v>
                </c:pt>
                <c:pt idx="5">
                  <c:v>26156.937299408415</c:v>
                </c:pt>
                <c:pt idx="6">
                  <c:v>26338.664264853298</c:v>
                </c:pt>
                <c:pt idx="7">
                  <c:v>26520.500206299643</c:v>
                </c:pt>
                <c:pt idx="8">
                  <c:v>26702.424147083308</c:v>
                </c:pt>
                <c:pt idx="9">
                  <c:v>26884.414804548302</c:v>
                </c:pt>
              </c:numCache>
            </c:numRef>
          </c:val>
          <c:extLst>
            <c:ext xmlns:c16="http://schemas.microsoft.com/office/drawing/2014/chart" uri="{C3380CC4-5D6E-409C-BE32-E72D297353CC}">
              <c16:uniqueId val="{00000000-03FD-4700-975A-8B3D8B524C69}"/>
            </c:ext>
          </c:extLst>
        </c:ser>
        <c:dLbls>
          <c:showLegendKey val="0"/>
          <c:showVal val="0"/>
          <c:showCatName val="0"/>
          <c:showSerName val="0"/>
          <c:showPercent val="0"/>
          <c:showBubbleSize val="0"/>
        </c:dLbls>
        <c:gapWidth val="100"/>
        <c:overlap val="-24"/>
        <c:axId val="1039572839"/>
        <c:axId val="1039574279"/>
      </c:barChart>
      <c:catAx>
        <c:axId val="1039572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4279"/>
        <c:crosses val="autoZero"/>
        <c:auto val="1"/>
        <c:lblAlgn val="ctr"/>
        <c:lblOffset val="100"/>
        <c:noMultiLvlLbl val="0"/>
      </c:catAx>
      <c:valAx>
        <c:axId val="1039574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2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[1]FCFE!$V$33</c:f>
              <c:strCache>
                <c:ptCount val="1"/>
                <c:pt idx="0">
                  <c:v>Sua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[1]FCFE!$W$32:$AB$32</c:f>
              <c:strCache>
                <c:ptCount val="6"/>
                <c:pt idx="0">
                  <c:v>2018</c:v>
                </c:pt>
                <c:pt idx="1">
                  <c:v>2019</c:v>
                </c:pt>
                <c:pt idx="2">
                  <c:v>2020</c:v>
                </c:pt>
                <c:pt idx="3">
                  <c:v>2021</c:v>
                </c:pt>
                <c:pt idx="4">
                  <c:v>2022</c:v>
                </c:pt>
                <c:pt idx="5">
                  <c:v>2023F</c:v>
                </c:pt>
              </c:strCache>
            </c:strRef>
          </c:cat>
          <c:val>
            <c:numRef>
              <c:f>[1]FCFE!$W$33:$AB$33</c:f>
              <c:numCache>
                <c:formatCode>General</c:formatCode>
                <c:ptCount val="6"/>
                <c:pt idx="0">
                  <c:v>31</c:v>
                </c:pt>
                <c:pt idx="1">
                  <c:v>32</c:v>
                </c:pt>
                <c:pt idx="2">
                  <c:v>34</c:v>
                </c:pt>
                <c:pt idx="3">
                  <c:v>37</c:v>
                </c:pt>
                <c:pt idx="4">
                  <c:v>39</c:v>
                </c:pt>
                <c:pt idx="5">
                  <c:v>42</c:v>
                </c:pt>
              </c:numCache>
            </c:numRef>
          </c:val>
          <c:extLst>
            <c:ext xmlns:c16="http://schemas.microsoft.com/office/drawing/2014/chart" uri="{C3380CC4-5D6E-409C-BE32-E72D297353CC}">
              <c16:uniqueId val="{00000000-6EAE-485C-B415-00CD108893DC}"/>
            </c:ext>
          </c:extLst>
        </c:ser>
        <c:dLbls>
          <c:showLegendKey val="0"/>
          <c:showVal val="0"/>
          <c:showCatName val="0"/>
          <c:showSerName val="0"/>
          <c:showPercent val="0"/>
          <c:showBubbleSize val="0"/>
        </c:dLbls>
        <c:gapWidth val="100"/>
        <c:overlap val="-24"/>
        <c:axId val="247222167"/>
        <c:axId val="247211727"/>
      </c:barChart>
      <c:catAx>
        <c:axId val="247222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11727"/>
        <c:crosses val="autoZero"/>
        <c:auto val="1"/>
        <c:lblAlgn val="ctr"/>
        <c:lblOffset val="100"/>
        <c:noMultiLvlLbl val="0"/>
      </c:catAx>
      <c:valAx>
        <c:axId val="247211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22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[1]FCFE!$A$3</c:f>
              <c:strCache>
                <c:ptCount val="1"/>
                <c:pt idx="0">
                  <c:v>Total revenue</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[1]FCFE!$B$2:$K$2</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[1]FCFE!$B$3:$K$3</c:f>
              <c:numCache>
                <c:formatCode>General</c:formatCode>
                <c:ptCount val="10"/>
                <c:pt idx="0">
                  <c:v>52561.95</c:v>
                </c:pt>
                <c:pt idx="1">
                  <c:v>56318.123</c:v>
                </c:pt>
                <c:pt idx="2">
                  <c:v>59636.286</c:v>
                </c:pt>
                <c:pt idx="3">
                  <c:v>60919.165000000001</c:v>
                </c:pt>
                <c:pt idx="4">
                  <c:v>59956.247000000003</c:v>
                </c:pt>
                <c:pt idx="5">
                  <c:v>60528.348398094349</c:v>
                </c:pt>
                <c:pt idx="6">
                  <c:v>61223.42902614129</c:v>
                </c:pt>
                <c:pt idx="7">
                  <c:v>62003.395290794142</c:v>
                </c:pt>
                <c:pt idx="8">
                  <c:v>62869.367433309628</c:v>
                </c:pt>
                <c:pt idx="9">
                  <c:v>63823.005015414266</c:v>
                </c:pt>
              </c:numCache>
            </c:numRef>
          </c:val>
          <c:extLst>
            <c:ext xmlns:c16="http://schemas.microsoft.com/office/drawing/2014/chart" uri="{C3380CC4-5D6E-409C-BE32-E72D297353CC}">
              <c16:uniqueId val="{00000000-E7E7-4207-8A05-9B44CC343036}"/>
            </c:ext>
          </c:extLst>
        </c:ser>
        <c:dLbls>
          <c:showLegendKey val="0"/>
          <c:showVal val="0"/>
          <c:showCatName val="0"/>
          <c:showSerName val="0"/>
          <c:showPercent val="0"/>
          <c:showBubbleSize val="0"/>
        </c:dLbls>
        <c:gapWidth val="100"/>
        <c:overlap val="-24"/>
        <c:axId val="759337376"/>
        <c:axId val="464356272"/>
      </c:barChart>
      <c:catAx>
        <c:axId val="759337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4356272"/>
        <c:crosses val="autoZero"/>
        <c:auto val="1"/>
        <c:lblAlgn val="ctr"/>
        <c:lblOffset val="100"/>
        <c:noMultiLvlLbl val="0"/>
      </c:catAx>
      <c:valAx>
        <c:axId val="46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93373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052188181513166E-2"/>
          <c:y val="7.407407407407407E-2"/>
          <c:w val="0.8705620823547503"/>
          <c:h val="0.85885024788568098"/>
        </c:manualLayout>
      </c:layout>
      <c:barChart>
        <c:barDir val="col"/>
        <c:grouping val="clustered"/>
        <c:varyColors val="0"/>
        <c:ser>
          <c:idx val="0"/>
          <c:order val="0"/>
          <c:tx>
            <c:strRef>
              <c:f>[1]FCFE!$T$28</c:f>
              <c:strCache>
                <c:ptCount val="1"/>
                <c:pt idx="0">
                  <c:v>Drinking milk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[1]FCFE!$U$27:$AD$27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[1]FCFE!$U$28:$AD$28</c:f>
              <c:numCache>
                <c:formatCode>General</c:formatCode>
                <c:ptCount val="10"/>
                <c:pt idx="0">
                  <c:v>22610.49491097089</c:v>
                </c:pt>
                <c:pt idx="1">
                  <c:v>25078.761399893556</c:v>
                </c:pt>
                <c:pt idx="2">
                  <c:v>26708.310166984938</c:v>
                </c:pt>
                <c:pt idx="3">
                  <c:v>27015.499627043584</c:v>
                </c:pt>
                <c:pt idx="4">
                  <c:v>25975.339980175617</c:v>
                </c:pt>
                <c:pt idx="5">
                  <c:v>26156.937299408415</c:v>
                </c:pt>
                <c:pt idx="6">
                  <c:v>26338.664264853298</c:v>
                </c:pt>
                <c:pt idx="7">
                  <c:v>26520.500206299643</c:v>
                </c:pt>
                <c:pt idx="8">
                  <c:v>26702.424147083308</c:v>
                </c:pt>
                <c:pt idx="9">
                  <c:v>26884.414804548302</c:v>
                </c:pt>
              </c:numCache>
            </c:numRef>
          </c:val>
          <c:extLst>
            <c:ext xmlns:c16="http://schemas.microsoft.com/office/drawing/2014/chart" uri="{C3380CC4-5D6E-409C-BE32-E72D297353CC}">
              <c16:uniqueId val="{00000000-06F3-48A5-9AF1-7E112B7FF0FC}"/>
            </c:ext>
          </c:extLst>
        </c:ser>
        <c:dLbls>
          <c:showLegendKey val="0"/>
          <c:showVal val="0"/>
          <c:showCatName val="0"/>
          <c:showSerName val="0"/>
          <c:showPercent val="0"/>
          <c:showBubbleSize val="0"/>
        </c:dLbls>
        <c:gapWidth val="100"/>
        <c:overlap val="-24"/>
        <c:axId val="1039572839"/>
        <c:axId val="1039574279"/>
      </c:barChart>
      <c:catAx>
        <c:axId val="1039572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4279"/>
        <c:crosses val="autoZero"/>
        <c:auto val="1"/>
        <c:lblAlgn val="ctr"/>
        <c:lblOffset val="100"/>
        <c:noMultiLvlLbl val="0"/>
      </c:catAx>
      <c:valAx>
        <c:axId val="1039574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2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[1]FCFE!$A$48</c:f>
              <c:strCache>
                <c:ptCount val="1"/>
                <c:pt idx="0">
                  <c:v>COST BREAKDOWN</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[1]FCFE!$B$47:$K$47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[1]FCFE!$B$48:$K$48</c:f>
              <c:numCache>
                <c:formatCode>General</c:formatCode>
                <c:ptCount val="10"/>
                <c:pt idx="0">
                  <c:v>42378.753979909998</c:v>
                </c:pt>
                <c:pt idx="1">
                  <c:v>45758.074290750003</c:v>
                </c:pt>
                <c:pt idx="2">
                  <c:v>34956.943557933002</c:v>
                </c:pt>
                <c:pt idx="3">
                  <c:v>50241.584443779007</c:v>
                </c:pt>
                <c:pt idx="4">
                  <c:v>51354.195901306994</c:v>
                </c:pt>
                <c:pt idx="5">
                  <c:v>49067.986032907793</c:v>
                </c:pt>
                <c:pt idx="6">
                  <c:v>49745.939876931443</c:v>
                </c:pt>
                <c:pt idx="7">
                  <c:v>50665.151857869918</c:v>
                </c:pt>
                <c:pt idx="8">
                  <c:v>51284.803720800359</c:v>
                </c:pt>
                <c:pt idx="9">
                  <c:v>51937.319563267723</c:v>
                </c:pt>
              </c:numCache>
            </c:numRef>
          </c:val>
          <c:extLst>
            <c:ext xmlns:c16="http://schemas.microsoft.com/office/drawing/2014/chart" uri="{C3380CC4-5D6E-409C-BE32-E72D297353CC}">
              <c16:uniqueId val="{00000000-83BF-4D32-B7D0-47A517C8802A}"/>
            </c:ext>
          </c:extLst>
        </c:ser>
        <c:dLbls>
          <c:showLegendKey val="0"/>
          <c:showVal val="0"/>
          <c:showCatName val="0"/>
          <c:showSerName val="0"/>
          <c:showPercent val="0"/>
          <c:showBubbleSize val="0"/>
        </c:dLbls>
        <c:gapWidth val="100"/>
        <c:overlap val="-24"/>
        <c:axId val="1223745711"/>
        <c:axId val="1601731487"/>
      </c:barChart>
      <c:catAx>
        <c:axId val="12237457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01731487"/>
        <c:crosses val="autoZero"/>
        <c:auto val="1"/>
        <c:lblAlgn val="ctr"/>
        <c:lblOffset val="100"/>
        <c:noMultiLvlLbl val="0"/>
      </c:catAx>
      <c:valAx>
        <c:axId val="1601731487"/>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3745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[1]FCFE!$A$89</c:f>
              <c:strCache>
                <c:ptCount val="1"/>
                <c:pt idx="0">
                  <c:v>NET INCOME</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[1]FCFE!$B$88:$K$88</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[1]FCFE!$B$89:$K$89</c:f>
              <c:numCache>
                <c:formatCode>General</c:formatCode>
                <c:ptCount val="10"/>
                <c:pt idx="0">
                  <c:v>10183.196020089999</c:v>
                </c:pt>
                <c:pt idx="1">
                  <c:v>10560.048709249997</c:v>
                </c:pt>
                <c:pt idx="2">
                  <c:v>24679.342442066998</c:v>
                </c:pt>
                <c:pt idx="3">
                  <c:v>10677.580556220993</c:v>
                </c:pt>
                <c:pt idx="4">
                  <c:v>8602.0510986930094</c:v>
                </c:pt>
                <c:pt idx="5">
                  <c:v>11460.362365186556</c:v>
                </c:pt>
                <c:pt idx="6">
                  <c:v>11477.489149209847</c:v>
                </c:pt>
                <c:pt idx="7">
                  <c:v>11338.243432924224</c:v>
                </c:pt>
                <c:pt idx="8">
                  <c:v>11584.563712509269</c:v>
                </c:pt>
                <c:pt idx="9">
                  <c:v>11885.685452146543</c:v>
                </c:pt>
              </c:numCache>
            </c:numRef>
          </c:val>
          <c:extLst>
            <c:ext xmlns:c16="http://schemas.microsoft.com/office/drawing/2014/chart" uri="{C3380CC4-5D6E-409C-BE32-E72D297353CC}">
              <c16:uniqueId val="{00000000-3CFD-49C3-B3ED-1735C6FB3F2B}"/>
            </c:ext>
          </c:extLst>
        </c:ser>
        <c:dLbls>
          <c:showLegendKey val="0"/>
          <c:showVal val="0"/>
          <c:showCatName val="0"/>
          <c:showSerName val="0"/>
          <c:showPercent val="0"/>
          <c:showBubbleSize val="0"/>
        </c:dLbls>
        <c:gapWidth val="100"/>
        <c:overlap val="-24"/>
        <c:axId val="1539837935"/>
        <c:axId val="464353392"/>
      </c:barChart>
      <c:catAx>
        <c:axId val="15398379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4353392"/>
        <c:crosses val="autoZero"/>
        <c:auto val="1"/>
        <c:lblAlgn val="ctr"/>
        <c:lblOffset val="100"/>
        <c:noMultiLvlLbl val="0"/>
      </c:catAx>
      <c:valAx>
        <c:axId val="464353392"/>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398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343890790989006E-2"/>
          <c:y val="1.9382444579652183E-2"/>
          <c:w val="0.90192599281581209"/>
          <c:h val="0.76422681539807524"/>
        </c:manualLayout>
      </c:layout>
      <c:barChart>
        <c:barDir val="col"/>
        <c:grouping val="stacked"/>
        <c:varyColors val="0"/>
        <c:ser>
          <c:idx val="0"/>
          <c:order val="0"/>
          <c:tx>
            <c:strRef>
              <c:f>'[1]revenue breakdown'!$T$4</c:f>
              <c:strCache>
                <c:ptCount val="1"/>
                <c:pt idx="0">
                  <c:v>Baby Food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breakdown'!$V$4:$Y$4</c:f>
              <c:numCache>
                <c:formatCode>General</c:formatCode>
                <c:ptCount val="4"/>
                <c:pt idx="0">
                  <c:v>6282.73</c:v>
                </c:pt>
                <c:pt idx="1">
                  <c:v>6582.5418999999993</c:v>
                </c:pt>
                <c:pt idx="2">
                  <c:v>6853.1112000000012</c:v>
                </c:pt>
                <c:pt idx="3">
                  <c:v>7271.4431999999997</c:v>
                </c:pt>
              </c:numCache>
            </c:numRef>
          </c:val>
          <c:extLst>
            <c:ext xmlns:c16="http://schemas.microsoft.com/office/drawing/2014/chart" uri="{C3380CC4-5D6E-409C-BE32-E72D297353CC}">
              <c16:uniqueId val="{00000000-C430-476B-BB2A-77A242EA8850}"/>
            </c:ext>
          </c:extLst>
        </c:ser>
        <c:ser>
          <c:idx val="1"/>
          <c:order val="1"/>
          <c:tx>
            <c:strRef>
              <c:f>'[1]revenue breakdown'!$T$5</c:f>
              <c:strCache>
                <c:ptCount val="1"/>
                <c:pt idx="0">
                  <c:v>Drinking Milk Products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breakdown'!$V$5:$Y$5</c:f>
              <c:numCache>
                <c:formatCode>General</c:formatCode>
                <c:ptCount val="4"/>
                <c:pt idx="0">
                  <c:v>24016.704000000005</c:v>
                </c:pt>
                <c:pt idx="1">
                  <c:v>26157.1548</c:v>
                </c:pt>
                <c:pt idx="2">
                  <c:v>27401.003399999998</c:v>
                </c:pt>
                <c:pt idx="3">
                  <c:v>27325.682800000002</c:v>
                </c:pt>
              </c:numCache>
            </c:numRef>
          </c:val>
          <c:extLst>
            <c:ext xmlns:c16="http://schemas.microsoft.com/office/drawing/2014/chart" uri="{C3380CC4-5D6E-409C-BE32-E72D297353CC}">
              <c16:uniqueId val="{00000001-C430-476B-BB2A-77A242EA8850}"/>
            </c:ext>
          </c:extLst>
        </c:ser>
        <c:ser>
          <c:idx val="2"/>
          <c:order val="2"/>
          <c:tx>
            <c:strRef>
              <c:f>'[1]revenue breakdown'!$T$6</c:f>
              <c:strCache>
                <c:ptCount val="1"/>
                <c:pt idx="0">
                  <c:v>Yoghurt and Sour Milk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breakdown'!$V$6:$Y$6</c:f>
              <c:numCache>
                <c:formatCode>General</c:formatCode>
                <c:ptCount val="4"/>
                <c:pt idx="0">
                  <c:v>11235.972</c:v>
                </c:pt>
                <c:pt idx="1">
                  <c:v>12499.762799999999</c:v>
                </c:pt>
                <c:pt idx="2">
                  <c:v>13519.2</c:v>
                </c:pt>
                <c:pt idx="3">
                  <c:v>14228.146799999999</c:v>
                </c:pt>
              </c:numCache>
            </c:numRef>
          </c:val>
          <c:extLst>
            <c:ext xmlns:c16="http://schemas.microsoft.com/office/drawing/2014/chart" uri="{C3380CC4-5D6E-409C-BE32-E72D297353CC}">
              <c16:uniqueId val="{00000002-C430-476B-BB2A-77A242EA8850}"/>
            </c:ext>
          </c:extLst>
        </c:ser>
        <c:ser>
          <c:idx val="3"/>
          <c:order val="3"/>
          <c:tx>
            <c:strRef>
              <c:f>'[1]revenue breakdown'!$T$7</c:f>
              <c:strCache>
                <c:ptCount val="1"/>
                <c:pt idx="0">
                  <c:v>Condensed milk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breakdown'!$V$7:$Y$7</c:f>
              <c:numCache>
                <c:formatCode>General</c:formatCode>
                <c:ptCount val="4"/>
                <c:pt idx="0">
                  <c:v>6533.944199999999</c:v>
                </c:pt>
                <c:pt idx="1">
                  <c:v>7147.5887999999986</c:v>
                </c:pt>
                <c:pt idx="2">
                  <c:v>7398.7779999999993</c:v>
                </c:pt>
                <c:pt idx="3">
                  <c:v>7802.7528000000002</c:v>
                </c:pt>
              </c:numCache>
            </c:numRef>
          </c:val>
          <c:extLst>
            <c:ext xmlns:c16="http://schemas.microsoft.com/office/drawing/2014/chart" uri="{C3380CC4-5D6E-409C-BE32-E72D297353CC}">
              <c16:uniqueId val="{00000003-C430-476B-BB2A-77A242EA8850}"/>
            </c:ext>
          </c:extLst>
        </c:ser>
        <c:ser>
          <c:idx val="4"/>
          <c:order val="4"/>
          <c:tx>
            <c:strRef>
              <c:f>'[1]revenue breakdown'!$T$8</c:f>
              <c:strCache>
                <c:ptCount val="1"/>
                <c:pt idx="0">
                  <c:v>Plant-based and other dairy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breakdown'!$V$8:$Y$8</c:f>
              <c:numCache>
                <c:formatCode>General</c:formatCode>
                <c:ptCount val="4"/>
                <c:pt idx="0">
                  <c:v>1549.1143999999997</c:v>
                </c:pt>
                <c:pt idx="1">
                  <c:v>1638.1554000000001</c:v>
                </c:pt>
                <c:pt idx="2">
                  <c:v>1673.2950000000001</c:v>
                </c:pt>
                <c:pt idx="3">
                  <c:v>1714.5980000000002</c:v>
                </c:pt>
              </c:numCache>
            </c:numRef>
          </c:val>
          <c:extLst>
            <c:ext xmlns:c16="http://schemas.microsoft.com/office/drawing/2014/chart" uri="{C3380CC4-5D6E-409C-BE32-E72D297353CC}">
              <c16:uniqueId val="{00000004-C430-476B-BB2A-77A242EA8850}"/>
            </c:ext>
          </c:extLst>
        </c:ser>
        <c:dLbls>
          <c:dLblPos val="ctr"/>
          <c:showLegendKey val="0"/>
          <c:showVal val="1"/>
          <c:showCatName val="0"/>
          <c:showSerName val="0"/>
          <c:showPercent val="0"/>
          <c:showBubbleSize val="0"/>
        </c:dLbls>
        <c:gapWidth val="150"/>
        <c:overlap val="100"/>
        <c:axId val="518662800"/>
        <c:axId val="518663880"/>
        <c:extLst>
          <c:ext xmlns:c15="http://schemas.microsoft.com/office/drawing/2012/chart" uri="{02D57815-91ED-43cb-92C2-25804820EDAC}">
            <c15:filteredBarSeries>
              <c15:ser>
                <c:idx val="5"/>
                <c:order val="5"/>
                <c:tx>
                  <c:v>CAGR</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'[1]revenue breakdown'!$V$3:$Y$3</c15:sqref>
                        </c15:formulaRef>
                      </c:ext>
                    </c:extLst>
                    <c:numCache>
                      <c:formatCode>General</c:formatCode>
                      <c:ptCount val="4"/>
                      <c:pt idx="0">
                        <c:v>2019</c:v>
                      </c:pt>
                      <c:pt idx="1">
                        <c:v>2020</c:v>
                      </c:pt>
                      <c:pt idx="2">
                        <c:v>2021</c:v>
                      </c:pt>
                      <c:pt idx="3">
                        <c:v>2022</c:v>
                      </c:pt>
                    </c:numCache>
                  </c:numRef>
                </c:cat>
                <c:val>
                  <c:numRef>
                    <c:extLst>
                      <c:ext uri="{02D57815-91ED-43cb-92C2-25804820EDAC}">
                        <c15:formulaRef>
                          <c15:sqref>'[1]revenue breakdown'!$U$13:$U$14</c15:sqref>
                        </c15:formulaRef>
                      </c:ext>
                    </c:extLst>
                    <c:numCache>
                      <c:formatCode>General</c:formatCode>
                      <c:ptCount val="2"/>
                      <c:pt idx="0">
                        <c:v>3.9189550209582702E-2</c:v>
                      </c:pt>
                      <c:pt idx="1">
                        <c:v>7.8379100419165397E-3</c:v>
                      </c:pt>
                    </c:numCache>
                  </c:numRef>
                </c:val>
                <c:extLst>
                  <c:ext xmlns:c16="http://schemas.microsoft.com/office/drawing/2014/chart" uri="{C3380CC4-5D6E-409C-BE32-E72D297353CC}">
                    <c16:uniqueId val="{00000008-C430-476B-BB2A-77A242EA8850}"/>
                  </c:ext>
                </c:extLst>
              </c15:ser>
            </c15:filteredBarSeries>
          </c:ext>
        </c:extLst>
      </c:barChart>
      <c:scatterChart>
        <c:scatterStyle val="lineMarker"/>
        <c:varyColors val="0"/>
        <c:ser>
          <c:idx val="7"/>
          <c:order val="7"/>
          <c:tx>
            <c:strRef>
              <c:f>'[1]revenue breakdown'!$T$13</c:f>
              <c:strCache>
                <c:ptCount val="1"/>
                <c:pt idx="0">
                  <c:v>CAGR</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none"/>
          </c:marker>
          <c:dLbls>
            <c:dLbl>
              <c:idx val="1"/>
              <c:layout>
                <c:manualLayout>
                  <c:x val="-0.38948807637263161"/>
                  <c:y val="1.375758303482909E-2"/>
                </c:manualLayout>
              </c:layout>
              <c:tx>
                <c:rich>
                  <a:bodyPr rot="-360000" spcFirstLastPara="1" vertOverflow="ellipsis"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fld id="{5037C86C-57B9-459E-BFE3-54E6EB7408F2}" type="SERIESNAME">
                      <a:rPr lang="en-US"/>
                      <a:pPr>
                        <a:defRPr/>
                      </a:pPr>
                      <a:t>[SERIES NAME]</a:t>
                    </a:fld>
                    <a:r>
                      <a:rPr lang="en-US" baseline="0"/>
                      <a:t>: 2.17%</a:t>
                    </a:r>
                  </a:p>
                </c:rich>
              </c:tx>
              <c:spPr>
                <a:noFill/>
                <a:ln>
                  <a:noFill/>
                </a:ln>
                <a:effectLst/>
              </c:spPr>
              <c:txPr>
                <a:bodyPr rot="-360000" spcFirstLastPara="1" vertOverflow="ellipsis"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430-476B-BB2A-77A242EA885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'[1]revenue breakdown'!$X$13:$X$14</c:f>
              <c:numCache>
                <c:formatCode>General</c:formatCode>
                <c:ptCount val="2"/>
                <c:pt idx="0">
                  <c:v>1</c:v>
                </c:pt>
                <c:pt idx="1">
                  <c:v>4</c:v>
                </c:pt>
              </c:numCache>
            </c:numRef>
          </c:xVal>
          <c:yVal>
            <c:numRef>
              <c:f>'[1]revenue breakdown'!$Y$13:$Y$14</c:f>
              <c:numCache>
                <c:formatCode>General</c:formatCode>
                <c:ptCount val="2"/>
                <c:pt idx="0">
                  <c:v>52376.53244000001</c:v>
                </c:pt>
                <c:pt idx="1">
                  <c:v>67094.017140000011</c:v>
                </c:pt>
              </c:numCache>
            </c:numRef>
          </c:yVal>
          <c:smooth val="0"/>
          <c:extLst>
            <c:ext xmlns:c16="http://schemas.microsoft.com/office/drawing/2014/chart" uri="{C3380CC4-5D6E-409C-BE32-E72D297353CC}">
              <c16:uniqueId val="{00000006-C430-476B-BB2A-77A242EA8850}"/>
            </c:ext>
          </c:extLst>
        </c:ser>
        <c:ser>
          <c:idx val="8"/>
          <c:order val="8"/>
          <c:tx>
            <c:strRef>
              <c:f>'[1]revenue breakdown'!$V$12</c:f>
              <c:strCache>
                <c:ptCount val="1"/>
                <c:pt idx="0">
                  <c:v>CAGR: 5.92%</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xVal>
            <c:numRef>
              <c:f>'[1]revenue breakdown'!$Z$14</c:f>
              <c:numCache>
                <c:formatCode>General</c:formatCode>
                <c:ptCount val="1"/>
                <c:pt idx="0">
                  <c:v>2.5</c:v>
                </c:pt>
              </c:numCache>
            </c:numRef>
          </c:xVal>
          <c:yVal>
            <c:numRef>
              <c:f>'[1]revenue breakdown'!$AA$13</c:f>
              <c:numCache>
                <c:formatCode>General</c:formatCode>
                <c:ptCount val="1"/>
                <c:pt idx="0">
                  <c:v>59735.27479000001</c:v>
                </c:pt>
              </c:numCache>
            </c:numRef>
          </c:yVal>
          <c:smooth val="0"/>
          <c:extLst>
            <c:ext xmlns:c16="http://schemas.microsoft.com/office/drawing/2014/chart" uri="{C3380CC4-5D6E-409C-BE32-E72D297353CC}">
              <c16:uniqueId val="{00000007-C430-476B-BB2A-77A242EA8850}"/>
            </c:ext>
          </c:extLst>
        </c:ser>
        <c:dLbls>
          <c:showLegendKey val="0"/>
          <c:showVal val="0"/>
          <c:showCatName val="0"/>
          <c:showSerName val="0"/>
          <c:showPercent val="0"/>
          <c:showBubbleSize val="0"/>
        </c:dLbls>
        <c:axId val="518662800"/>
        <c:axId val="518663880"/>
        <c:extLst>
          <c:ext xmlns:c15="http://schemas.microsoft.com/office/drawing/2012/chart" uri="{02D57815-91ED-43cb-92C2-25804820EDAC}">
            <c15:filteredScatterSeries>
              <c15:ser>
                <c:idx val="6"/>
                <c:order val="6"/>
                <c:tx>
                  <c:strRef>
                    <c:extLst>
                      <c:ext uri="{02D57815-91ED-43cb-92C2-25804820EDAC}">
                        <c15:formulaRef>
                          <c15:sqref>'[1]revenue breakdown'!$T$9</c15:sqref>
                        </c15:formulaRef>
                      </c:ext>
                    </c:extLst>
                    <c:strCache>
                      <c:ptCount val="1"/>
                      <c:pt idx="0">
                        <c:v>Force zero</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extLst>
                      <c:ext uri="{02D57815-91ED-43cb-92C2-25804820EDAC}">
                        <c15:formulaRef>
                          <c15:sqref>'[1]revenue breakdown'!$U$9:$Z$9</c15:sqref>
                        </c15:formulaRef>
                      </c:ext>
                    </c:extLst>
                    <c:numCache>
                      <c:formatCode>General</c:formatCode>
                      <c:ptCount val="6"/>
                      <c:pt idx="0">
                        <c:v>0</c:v>
                      </c:pt>
                    </c:numCache>
                  </c:numRef>
                </c:yVal>
                <c:smooth val="0"/>
                <c:extLst>
                  <c:ext xmlns:c16="http://schemas.microsoft.com/office/drawing/2014/chart" uri="{C3380CC4-5D6E-409C-BE32-E72D297353CC}">
                    <c16:uniqueId val="{00000009-C430-476B-BB2A-77A242EA8850}"/>
                  </c:ext>
                </c:extLst>
              </c15:ser>
            </c15:filteredScatterSeries>
          </c:ext>
        </c:extLst>
      </c:scatterChart>
      <c:catAx>
        <c:axId val="518662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18663880"/>
        <c:crosses val="autoZero"/>
        <c:auto val="1"/>
        <c:lblAlgn val="ctr"/>
        <c:lblOffset val="100"/>
        <c:noMultiLvlLbl val="0"/>
      </c:catAx>
      <c:valAx>
        <c:axId val="518663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18662800"/>
        <c:crosses val="autoZero"/>
        <c:crossBetween val="between"/>
      </c:valAx>
      <c:spPr>
        <a:noFill/>
        <a:ln>
          <a:noFill/>
        </a:ln>
        <a:effectLst/>
      </c:spPr>
    </c:plotArea>
    <c:legend>
      <c:legendPos val="r"/>
      <c:legendEntry>
        <c:idx val="5"/>
        <c:delete val="1"/>
      </c:legendEntry>
      <c:legendEntry>
        <c:idx val="6"/>
        <c:delete val="1"/>
      </c:legendEntry>
      <c:layout>
        <c:manualLayout>
          <c:xMode val="edge"/>
          <c:yMode val="edge"/>
          <c:x val="0"/>
          <c:y val="0.87164348606020747"/>
          <c:w val="1"/>
          <c:h val="0.12566815992805269"/>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sz="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052188181513166E-2"/>
          <c:y val="7.407407407407407E-2"/>
          <c:w val="0.8705620823547503"/>
          <c:h val="0.85885024788568098"/>
        </c:manualLayout>
      </c:layout>
      <c:barChart>
        <c:barDir val="col"/>
        <c:grouping val="clustered"/>
        <c:varyColors val="0"/>
        <c:ser>
          <c:idx val="0"/>
          <c:order val="0"/>
          <c:tx>
            <c:strRef>
              <c:f>[1]FCFE!$T$28</c:f>
              <c:strCache>
                <c:ptCount val="1"/>
                <c:pt idx="0">
                  <c:v>Drinking milk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[1]FCFE!$U$27:$AD$27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[1]FCFE!$U$28:$AD$28</c:f>
              <c:numCache>
                <c:formatCode>General</c:formatCode>
                <c:ptCount val="10"/>
                <c:pt idx="0">
                  <c:v>22610.49491097089</c:v>
                </c:pt>
                <c:pt idx="1">
                  <c:v>25078.761399893556</c:v>
                </c:pt>
                <c:pt idx="2">
                  <c:v>26708.310166984938</c:v>
                </c:pt>
                <c:pt idx="3">
                  <c:v>27015.499627043584</c:v>
                </c:pt>
                <c:pt idx="4">
                  <c:v>25975.339980175617</c:v>
                </c:pt>
                <c:pt idx="5">
                  <c:v>26156.937299408415</c:v>
                </c:pt>
                <c:pt idx="6">
                  <c:v>26338.664264853298</c:v>
                </c:pt>
                <c:pt idx="7">
                  <c:v>26520.500206299643</c:v>
                </c:pt>
                <c:pt idx="8">
                  <c:v>26702.424147083308</c:v>
                </c:pt>
                <c:pt idx="9">
                  <c:v>26884.414804548302</c:v>
                </c:pt>
              </c:numCache>
            </c:numRef>
          </c:val>
          <c:extLst>
            <c:ext xmlns:c16="http://schemas.microsoft.com/office/drawing/2014/chart" uri="{C3380CC4-5D6E-409C-BE32-E72D297353CC}">
              <c16:uniqueId val="{00000000-452C-4645-8236-91F2B14EE783}"/>
            </c:ext>
          </c:extLst>
        </c:ser>
        <c:dLbls>
          <c:showLegendKey val="0"/>
          <c:showVal val="0"/>
          <c:showCatName val="0"/>
          <c:showSerName val="0"/>
          <c:showPercent val="0"/>
          <c:showBubbleSize val="0"/>
        </c:dLbls>
        <c:gapWidth val="100"/>
        <c:overlap val="-24"/>
        <c:axId val="1039572839"/>
        <c:axId val="1039574279"/>
      </c:barChart>
      <c:catAx>
        <c:axId val="1039572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4279"/>
        <c:crosses val="autoZero"/>
        <c:auto val="1"/>
        <c:lblAlgn val="ctr"/>
        <c:lblOffset val="100"/>
        <c:noMultiLvlLbl val="0"/>
      </c:catAx>
      <c:valAx>
        <c:axId val="1039574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2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[1]FCFE!$V$33</c:f>
              <c:strCache>
                <c:ptCount val="1"/>
                <c:pt idx="0">
                  <c:v>Sua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[1]FCFE!$W$32:$AB$32</c:f>
              <c:strCache>
                <c:ptCount val="6"/>
                <c:pt idx="0">
                  <c:v>2018</c:v>
                </c:pt>
                <c:pt idx="1">
                  <c:v>2019</c:v>
                </c:pt>
                <c:pt idx="2">
                  <c:v>2020</c:v>
                </c:pt>
                <c:pt idx="3">
                  <c:v>2021</c:v>
                </c:pt>
                <c:pt idx="4">
                  <c:v>2022</c:v>
                </c:pt>
                <c:pt idx="5">
                  <c:v>2023F</c:v>
                </c:pt>
              </c:strCache>
            </c:strRef>
          </c:cat>
          <c:val>
            <c:numRef>
              <c:f>[1]FCFE!$W$33:$AB$33</c:f>
              <c:numCache>
                <c:formatCode>General</c:formatCode>
                <c:ptCount val="6"/>
                <c:pt idx="0">
                  <c:v>31</c:v>
                </c:pt>
                <c:pt idx="1">
                  <c:v>32</c:v>
                </c:pt>
                <c:pt idx="2">
                  <c:v>34</c:v>
                </c:pt>
                <c:pt idx="3">
                  <c:v>37</c:v>
                </c:pt>
                <c:pt idx="4">
                  <c:v>39</c:v>
                </c:pt>
                <c:pt idx="5">
                  <c:v>42</c:v>
                </c:pt>
              </c:numCache>
            </c:numRef>
          </c:val>
          <c:extLst>
            <c:ext xmlns:c16="http://schemas.microsoft.com/office/drawing/2014/chart" uri="{C3380CC4-5D6E-409C-BE32-E72D297353CC}">
              <c16:uniqueId val="{00000000-5019-4CEA-9FF1-B38B762F09CA}"/>
            </c:ext>
          </c:extLst>
        </c:ser>
        <c:dLbls>
          <c:showLegendKey val="0"/>
          <c:showVal val="0"/>
          <c:showCatName val="0"/>
          <c:showSerName val="0"/>
          <c:showPercent val="0"/>
          <c:showBubbleSize val="0"/>
        </c:dLbls>
        <c:gapWidth val="100"/>
        <c:overlap val="-24"/>
        <c:axId val="247222167"/>
        <c:axId val="247211727"/>
      </c:barChart>
      <c:catAx>
        <c:axId val="247222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11727"/>
        <c:crosses val="autoZero"/>
        <c:auto val="1"/>
        <c:lblAlgn val="ctr"/>
        <c:lblOffset val="100"/>
        <c:noMultiLvlLbl val="0"/>
      </c:catAx>
      <c:valAx>
        <c:axId val="247211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22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t>Forecasted Volumes of 4 products from MKD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Graph!$R$4</c:f>
              <c:strCache>
                <c:ptCount val="1"/>
                <c:pt idx="0">
                  <c:v>2025</c:v>
                </c:pt>
              </c:strCache>
            </c:strRef>
          </c:tx>
          <c:spPr>
            <a:solidFill>
              <a:schemeClr val="accent1"/>
            </a:solidFill>
            <a:ln>
              <a:noFill/>
            </a:ln>
            <a:effectLst/>
          </c:spPr>
          <c:invertIfNegative val="0"/>
          <c:cat>
            <c:strRef>
              <c:f>Graph!$Q$5:$Q$8</c:f>
              <c:strCache>
                <c:ptCount val="4"/>
                <c:pt idx="0">
                  <c:v> Mooncake </c:v>
                </c:pt>
                <c:pt idx="1">
                  <c:v>Solite Cake</c:v>
                </c:pt>
                <c:pt idx="2">
                  <c:v>Cosy Biscuit</c:v>
                </c:pt>
                <c:pt idx="3">
                  <c:v>AFC Crackers</c:v>
                </c:pt>
              </c:strCache>
            </c:strRef>
          </c:cat>
          <c:val>
            <c:numRef>
              <c:f>Graph!$R$5:$R$8</c:f>
              <c:numCache>
                <c:formatCode>_(* #,##0_);_(* \(#,##0\);_(* "-"??_);_(@_)</c:formatCode>
                <c:ptCount val="4"/>
                <c:pt idx="0">
                  <c:v>402000</c:v>
                </c:pt>
                <c:pt idx="1">
                  <c:v>1619000</c:v>
                </c:pt>
                <c:pt idx="2">
                  <c:v>3718000</c:v>
                </c:pt>
                <c:pt idx="3">
                  <c:v>1133000</c:v>
                </c:pt>
              </c:numCache>
            </c:numRef>
          </c:val>
          <c:extLst>
            <c:ext xmlns:c16="http://schemas.microsoft.com/office/drawing/2014/chart" uri="{C3380CC4-5D6E-409C-BE32-E72D297353CC}">
              <c16:uniqueId val="{00000000-5E34-4128-B1CD-3F2F8A0A5903}"/>
            </c:ext>
          </c:extLst>
        </c:ser>
        <c:ser>
          <c:idx val="1"/>
          <c:order val="1"/>
          <c:tx>
            <c:strRef>
              <c:f>Graph!$S$4</c:f>
              <c:strCache>
                <c:ptCount val="1"/>
                <c:pt idx="0">
                  <c:v>2026</c:v>
                </c:pt>
              </c:strCache>
            </c:strRef>
          </c:tx>
          <c:spPr>
            <a:solidFill>
              <a:schemeClr val="accent2"/>
            </a:solidFill>
            <a:ln>
              <a:noFill/>
            </a:ln>
            <a:effectLst/>
          </c:spPr>
          <c:invertIfNegative val="0"/>
          <c:cat>
            <c:strRef>
              <c:f>Graph!$Q$5:$Q$8</c:f>
              <c:strCache>
                <c:ptCount val="4"/>
                <c:pt idx="0">
                  <c:v> Mooncake </c:v>
                </c:pt>
                <c:pt idx="1">
                  <c:v>Solite Cake</c:v>
                </c:pt>
                <c:pt idx="2">
                  <c:v>Cosy Biscuit</c:v>
                </c:pt>
                <c:pt idx="3">
                  <c:v>AFC Crackers</c:v>
                </c:pt>
              </c:strCache>
            </c:strRef>
          </c:cat>
          <c:val>
            <c:numRef>
              <c:f>Graph!$S$5:$S$8</c:f>
              <c:numCache>
                <c:formatCode>_(* #,##0_);_(* \(#,##0\);_(* "-"??_);_(@_)</c:formatCode>
                <c:ptCount val="4"/>
                <c:pt idx="0">
                  <c:v>418435.6079608858</c:v>
                </c:pt>
                <c:pt idx="1">
                  <c:v>1704915.2356958711</c:v>
                </c:pt>
                <c:pt idx="2">
                  <c:v>3759425.7699459959</c:v>
                </c:pt>
                <c:pt idx="3">
                  <c:v>1177571.6184087007</c:v>
                </c:pt>
              </c:numCache>
            </c:numRef>
          </c:val>
          <c:extLst>
            <c:ext xmlns:c16="http://schemas.microsoft.com/office/drawing/2014/chart" uri="{C3380CC4-5D6E-409C-BE32-E72D297353CC}">
              <c16:uniqueId val="{00000001-5E34-4128-B1CD-3F2F8A0A5903}"/>
            </c:ext>
          </c:extLst>
        </c:ser>
        <c:ser>
          <c:idx val="2"/>
          <c:order val="2"/>
          <c:tx>
            <c:strRef>
              <c:f>Graph!$T$4</c:f>
              <c:strCache>
                <c:ptCount val="1"/>
                <c:pt idx="0">
                  <c:v>2027</c:v>
                </c:pt>
              </c:strCache>
            </c:strRef>
          </c:tx>
          <c:spPr>
            <a:solidFill>
              <a:schemeClr val="accent3"/>
            </a:solidFill>
            <a:ln>
              <a:noFill/>
            </a:ln>
            <a:effectLst/>
          </c:spPr>
          <c:invertIfNegative val="0"/>
          <c:cat>
            <c:strRef>
              <c:f>Graph!$Q$5:$Q$8</c:f>
              <c:strCache>
                <c:ptCount val="4"/>
                <c:pt idx="0">
                  <c:v> Mooncake </c:v>
                </c:pt>
                <c:pt idx="1">
                  <c:v>Solite Cake</c:v>
                </c:pt>
                <c:pt idx="2">
                  <c:v>Cosy Biscuit</c:v>
                </c:pt>
                <c:pt idx="3">
                  <c:v>AFC Crackers</c:v>
                </c:pt>
              </c:strCache>
            </c:strRef>
          </c:cat>
          <c:val>
            <c:numRef>
              <c:f>Graph!$T$5:$T$8</c:f>
              <c:numCache>
                <c:formatCode>_(* #,##0_);_(* \(#,##0\);_(* "-"??_);_(@_)</c:formatCode>
                <c:ptCount val="4"/>
                <c:pt idx="0">
                  <c:v>438210.88838744041</c:v>
                </c:pt>
                <c:pt idx="1">
                  <c:v>1791438.2926412192</c:v>
                </c:pt>
                <c:pt idx="2">
                  <c:v>3805499.6211325307</c:v>
                </c:pt>
                <c:pt idx="3">
                  <c:v>1231542.9371546488</c:v>
                </c:pt>
              </c:numCache>
            </c:numRef>
          </c:val>
          <c:extLst>
            <c:ext xmlns:c16="http://schemas.microsoft.com/office/drawing/2014/chart" uri="{C3380CC4-5D6E-409C-BE32-E72D297353CC}">
              <c16:uniqueId val="{00000002-5E34-4128-B1CD-3F2F8A0A5903}"/>
            </c:ext>
          </c:extLst>
        </c:ser>
        <c:ser>
          <c:idx val="3"/>
          <c:order val="3"/>
          <c:tx>
            <c:strRef>
              <c:f>Graph!$U$4</c:f>
              <c:strCache>
                <c:ptCount val="1"/>
                <c:pt idx="0">
                  <c:v>2028</c:v>
                </c:pt>
              </c:strCache>
            </c:strRef>
          </c:tx>
          <c:spPr>
            <a:solidFill>
              <a:schemeClr val="accent4"/>
            </a:solidFill>
            <a:ln>
              <a:noFill/>
            </a:ln>
            <a:effectLst/>
          </c:spPr>
          <c:invertIfNegative val="0"/>
          <c:cat>
            <c:strRef>
              <c:f>Graph!$Q$5:$Q$8</c:f>
              <c:strCache>
                <c:ptCount val="4"/>
                <c:pt idx="0">
                  <c:v> Mooncake </c:v>
                </c:pt>
                <c:pt idx="1">
                  <c:v>Solite Cake</c:v>
                </c:pt>
                <c:pt idx="2">
                  <c:v>Cosy Biscuit</c:v>
                </c:pt>
                <c:pt idx="3">
                  <c:v>AFC Crackers</c:v>
                </c:pt>
              </c:strCache>
            </c:strRef>
          </c:cat>
          <c:val>
            <c:numRef>
              <c:f>Graph!$U$5:$U$8</c:f>
              <c:numCache>
                <c:formatCode>_(* #,##0_);_(* \(#,##0\);_(* "-"??_);_(@_)</c:formatCode>
                <c:ptCount val="4"/>
                <c:pt idx="0">
                  <c:v>462359.79535076686</c:v>
                </c:pt>
                <c:pt idx="1">
                  <c:v>1705048.9757592878</c:v>
                </c:pt>
                <c:pt idx="2">
                  <c:v>3856551.2106568674</c:v>
                </c:pt>
                <c:pt idx="3">
                  <c:v>1296697.0991489172</c:v>
                </c:pt>
              </c:numCache>
            </c:numRef>
          </c:val>
          <c:extLst>
            <c:ext xmlns:c16="http://schemas.microsoft.com/office/drawing/2014/chart" uri="{C3380CC4-5D6E-409C-BE32-E72D297353CC}">
              <c16:uniqueId val="{00000003-5E34-4128-B1CD-3F2F8A0A5903}"/>
            </c:ext>
          </c:extLst>
        </c:ser>
        <c:ser>
          <c:idx val="4"/>
          <c:order val="4"/>
          <c:tx>
            <c:strRef>
              <c:f>Graph!$V$4</c:f>
              <c:strCache>
                <c:ptCount val="1"/>
                <c:pt idx="0">
                  <c:v>2029</c:v>
                </c:pt>
              </c:strCache>
            </c:strRef>
          </c:tx>
          <c:spPr>
            <a:solidFill>
              <a:schemeClr val="accent5"/>
            </a:solidFill>
            <a:ln>
              <a:noFill/>
            </a:ln>
            <a:effectLst/>
          </c:spPr>
          <c:invertIfNegative val="0"/>
          <c:cat>
            <c:strRef>
              <c:f>Graph!$Q$5:$Q$8</c:f>
              <c:strCache>
                <c:ptCount val="4"/>
                <c:pt idx="0">
                  <c:v> Mooncake </c:v>
                </c:pt>
                <c:pt idx="1">
                  <c:v>Solite Cake</c:v>
                </c:pt>
                <c:pt idx="2">
                  <c:v>Cosy Biscuit</c:v>
                </c:pt>
                <c:pt idx="3">
                  <c:v>AFC Crackers</c:v>
                </c:pt>
              </c:strCache>
            </c:strRef>
          </c:cat>
          <c:val>
            <c:numRef>
              <c:f>Graph!$V$5:$V$8</c:f>
              <c:numCache>
                <c:formatCode>_(* #,##0_);_(* \(#,##0\);_(* "-"??_);_(@_)</c:formatCode>
                <c:ptCount val="4"/>
                <c:pt idx="0">
                  <c:v>492668.89615189889</c:v>
                </c:pt>
                <c:pt idx="1">
                  <c:v>1627535.7920900953</c:v>
                </c:pt>
                <c:pt idx="2">
                  <c:v>3912944.896142656</c:v>
                </c:pt>
                <c:pt idx="3">
                  <c:v>1375285.1470040227</c:v>
                </c:pt>
              </c:numCache>
            </c:numRef>
          </c:val>
          <c:extLst>
            <c:ext xmlns:c16="http://schemas.microsoft.com/office/drawing/2014/chart" uri="{C3380CC4-5D6E-409C-BE32-E72D297353CC}">
              <c16:uniqueId val="{00000004-5E34-4128-B1CD-3F2F8A0A5903}"/>
            </c:ext>
          </c:extLst>
        </c:ser>
        <c:ser>
          <c:idx val="5"/>
          <c:order val="5"/>
          <c:tx>
            <c:strRef>
              <c:f>Graph!$W$4</c:f>
              <c:strCache>
                <c:ptCount val="1"/>
                <c:pt idx="0">
                  <c:v>2030</c:v>
                </c:pt>
              </c:strCache>
            </c:strRef>
          </c:tx>
          <c:spPr>
            <a:solidFill>
              <a:schemeClr val="accent6"/>
            </a:solidFill>
            <a:ln>
              <a:noFill/>
            </a:ln>
            <a:effectLst/>
          </c:spPr>
          <c:invertIfNegative val="0"/>
          <c:cat>
            <c:strRef>
              <c:f>Graph!$Q$5:$Q$8</c:f>
              <c:strCache>
                <c:ptCount val="4"/>
                <c:pt idx="0">
                  <c:v> Mooncake </c:v>
                </c:pt>
                <c:pt idx="1">
                  <c:v>Solite Cake</c:v>
                </c:pt>
                <c:pt idx="2">
                  <c:v>Cosy Biscuit</c:v>
                </c:pt>
                <c:pt idx="3">
                  <c:v>AFC Crackers</c:v>
                </c:pt>
              </c:strCache>
            </c:strRef>
          </c:cat>
          <c:val>
            <c:numRef>
              <c:f>Graph!$W$5:$W$8</c:f>
              <c:numCache>
                <c:formatCode>_(* #,##0_);_(* \(#,##0\);_(* "-"??_);_(@_)</c:formatCode>
                <c:ptCount val="4"/>
                <c:pt idx="0">
                  <c:v>531938.67084170762</c:v>
                </c:pt>
                <c:pt idx="1">
                  <c:v>1558482.7847850258</c:v>
                </c:pt>
                <c:pt idx="2">
                  <c:v>3975083.9592435542</c:v>
                </c:pt>
                <c:pt idx="3">
                  <c:v>1470172.0444348566</c:v>
                </c:pt>
              </c:numCache>
            </c:numRef>
          </c:val>
          <c:extLst>
            <c:ext xmlns:c16="http://schemas.microsoft.com/office/drawing/2014/chart" uri="{C3380CC4-5D6E-409C-BE32-E72D297353CC}">
              <c16:uniqueId val="{00000005-5E34-4128-B1CD-3F2F8A0A5903}"/>
            </c:ext>
          </c:extLst>
        </c:ser>
        <c:ser>
          <c:idx val="6"/>
          <c:order val="6"/>
          <c:tx>
            <c:strRef>
              <c:f>Graph!$X$4</c:f>
              <c:strCache>
                <c:ptCount val="1"/>
                <c:pt idx="0">
                  <c:v>2031</c:v>
                </c:pt>
              </c:strCache>
            </c:strRef>
          </c:tx>
          <c:spPr>
            <a:solidFill>
              <a:schemeClr val="accent1">
                <a:lumMod val="60000"/>
              </a:schemeClr>
            </a:solidFill>
            <a:ln>
              <a:noFill/>
            </a:ln>
            <a:effectLst/>
          </c:spPr>
          <c:invertIfNegative val="0"/>
          <c:cat>
            <c:strRef>
              <c:f>Graph!$Q$5:$Q$8</c:f>
              <c:strCache>
                <c:ptCount val="4"/>
                <c:pt idx="0">
                  <c:v> Mooncake </c:v>
                </c:pt>
                <c:pt idx="1">
                  <c:v>Solite Cake</c:v>
                </c:pt>
                <c:pt idx="2">
                  <c:v>Cosy Biscuit</c:v>
                </c:pt>
                <c:pt idx="3">
                  <c:v>AFC Crackers</c:v>
                </c:pt>
              </c:strCache>
            </c:strRef>
          </c:cat>
          <c:val>
            <c:numRef>
              <c:f>Graph!$X$5:$X$8</c:f>
              <c:numCache>
                <c:formatCode>_(* #,##0_);_(* \(#,##0\);_(* "-"??_);_(@_)</c:formatCode>
                <c:ptCount val="4"/>
                <c:pt idx="0">
                  <c:v>584850.16637756722</c:v>
                </c:pt>
                <c:pt idx="1">
                  <c:v>1497571.1540881163</c:v>
                </c:pt>
                <c:pt idx="2">
                  <c:v>4043415.4254905563</c:v>
                </c:pt>
                <c:pt idx="3">
                  <c:v>1585036.1289905501</c:v>
                </c:pt>
              </c:numCache>
            </c:numRef>
          </c:val>
          <c:extLst>
            <c:ext xmlns:c16="http://schemas.microsoft.com/office/drawing/2014/chart" uri="{C3380CC4-5D6E-409C-BE32-E72D297353CC}">
              <c16:uniqueId val="{00000006-5E34-4128-B1CD-3F2F8A0A5903}"/>
            </c:ext>
          </c:extLst>
        </c:ser>
        <c:dLbls>
          <c:showLegendKey val="0"/>
          <c:showVal val="0"/>
          <c:showCatName val="0"/>
          <c:showSerName val="0"/>
          <c:showPercent val="0"/>
          <c:showBubbleSize val="0"/>
        </c:dLbls>
        <c:gapWidth val="219"/>
        <c:overlap val="-27"/>
        <c:axId val="891423648"/>
        <c:axId val="891426144"/>
      </c:barChart>
      <c:catAx>
        <c:axId val="89142364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91426144"/>
        <c:crosses val="autoZero"/>
        <c:auto val="1"/>
        <c:lblAlgn val="ctr"/>
        <c:lblOffset val="100"/>
        <c:noMultiLvlLbl val="0"/>
      </c:catAx>
      <c:valAx>
        <c:axId val="891426144"/>
        <c:scaling>
          <c:orientation val="minMax"/>
          <c:max val="5900000"/>
          <c:min val="0"/>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9142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t>Forecasted Prices of 4 products from MKD</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Graph!$R$9</c:f>
              <c:strCache>
                <c:ptCount val="1"/>
                <c:pt idx="0">
                  <c:v>2025</c:v>
                </c:pt>
              </c:strCache>
            </c:strRef>
          </c:tx>
          <c:spPr>
            <a:solidFill>
              <a:schemeClr val="accent1"/>
            </a:solidFill>
            <a:ln>
              <a:noFill/>
            </a:ln>
            <a:effectLst/>
          </c:spPr>
          <c:invertIfNegative val="0"/>
          <c:cat>
            <c:strRef>
              <c:f>Graph!$Q$10:$Q$13</c:f>
              <c:strCache>
                <c:ptCount val="4"/>
                <c:pt idx="0">
                  <c:v> Mooncake </c:v>
                </c:pt>
                <c:pt idx="1">
                  <c:v>Solite Cake</c:v>
                </c:pt>
                <c:pt idx="2">
                  <c:v>Cosy Biscuit</c:v>
                </c:pt>
                <c:pt idx="3">
                  <c:v>AFC Crackers</c:v>
                </c:pt>
              </c:strCache>
            </c:strRef>
          </c:cat>
          <c:val>
            <c:numRef>
              <c:f>Graph!$R$10:$R$13</c:f>
              <c:numCache>
                <c:formatCode>_(* #,##0_);_(* \(#,##0\);_(* "-"??_);_(@_)</c:formatCode>
                <c:ptCount val="4"/>
                <c:pt idx="0">
                  <c:v>640.0737777777772</c:v>
                </c:pt>
                <c:pt idx="1">
                  <c:v>268.6023888888887</c:v>
                </c:pt>
                <c:pt idx="2">
                  <c:v>280.03227777777755</c:v>
                </c:pt>
                <c:pt idx="3">
                  <c:v>302.89205555555532</c:v>
                </c:pt>
              </c:numCache>
            </c:numRef>
          </c:val>
          <c:extLst>
            <c:ext xmlns:c16="http://schemas.microsoft.com/office/drawing/2014/chart" uri="{C3380CC4-5D6E-409C-BE32-E72D297353CC}">
              <c16:uniqueId val="{00000000-CFC7-4931-B53B-11BAA230A825}"/>
            </c:ext>
          </c:extLst>
        </c:ser>
        <c:ser>
          <c:idx val="1"/>
          <c:order val="1"/>
          <c:tx>
            <c:strRef>
              <c:f>Graph!$S$9</c:f>
              <c:strCache>
                <c:ptCount val="1"/>
                <c:pt idx="0">
                  <c:v>2026</c:v>
                </c:pt>
              </c:strCache>
            </c:strRef>
          </c:tx>
          <c:spPr>
            <a:solidFill>
              <a:schemeClr val="accent2"/>
            </a:solidFill>
            <a:ln>
              <a:noFill/>
            </a:ln>
            <a:effectLst/>
          </c:spPr>
          <c:invertIfNegative val="0"/>
          <c:cat>
            <c:strRef>
              <c:f>Graph!$Q$10:$Q$13</c:f>
              <c:strCache>
                <c:ptCount val="4"/>
                <c:pt idx="0">
                  <c:v> Mooncake </c:v>
                </c:pt>
                <c:pt idx="1">
                  <c:v>Solite Cake</c:v>
                </c:pt>
                <c:pt idx="2">
                  <c:v>Cosy Biscuit</c:v>
                </c:pt>
                <c:pt idx="3">
                  <c:v>AFC Crackers</c:v>
                </c:pt>
              </c:strCache>
            </c:strRef>
          </c:cat>
          <c:val>
            <c:numRef>
              <c:f>Graph!$S$10:$S$13</c:f>
              <c:numCache>
                <c:formatCode>_(* #,##0_);_(* \(#,##0\);_(* "-"??_);_(@_)</c:formatCode>
                <c:ptCount val="4"/>
                <c:pt idx="0">
                  <c:v>624.14368350299867</c:v>
                </c:pt>
                <c:pt idx="1">
                  <c:v>260.18549870046564</c:v>
                </c:pt>
                <c:pt idx="2">
                  <c:v>271.25722204942156</c:v>
                </c:pt>
                <c:pt idx="3">
                  <c:v>293.40066874733355</c:v>
                </c:pt>
              </c:numCache>
            </c:numRef>
          </c:val>
          <c:extLst>
            <c:ext xmlns:c16="http://schemas.microsoft.com/office/drawing/2014/chart" uri="{C3380CC4-5D6E-409C-BE32-E72D297353CC}">
              <c16:uniqueId val="{00000001-CFC7-4931-B53B-11BAA230A825}"/>
            </c:ext>
          </c:extLst>
        </c:ser>
        <c:ser>
          <c:idx val="2"/>
          <c:order val="2"/>
          <c:tx>
            <c:strRef>
              <c:f>Graph!$T$9</c:f>
              <c:strCache>
                <c:ptCount val="1"/>
                <c:pt idx="0">
                  <c:v>2027</c:v>
                </c:pt>
              </c:strCache>
            </c:strRef>
          </c:tx>
          <c:spPr>
            <a:solidFill>
              <a:schemeClr val="accent3"/>
            </a:solidFill>
            <a:ln>
              <a:noFill/>
            </a:ln>
            <a:effectLst/>
          </c:spPr>
          <c:invertIfNegative val="0"/>
          <c:cat>
            <c:strRef>
              <c:f>Graph!$Q$10:$Q$13</c:f>
              <c:strCache>
                <c:ptCount val="4"/>
                <c:pt idx="0">
                  <c:v> Mooncake </c:v>
                </c:pt>
                <c:pt idx="1">
                  <c:v>Solite Cake</c:v>
                </c:pt>
                <c:pt idx="2">
                  <c:v>Cosy Biscuit</c:v>
                </c:pt>
                <c:pt idx="3">
                  <c:v>AFC Crackers</c:v>
                </c:pt>
              </c:strCache>
            </c:strRef>
          </c:cat>
          <c:val>
            <c:numRef>
              <c:f>Graph!$T$10:$T$13</c:f>
              <c:numCache>
                <c:formatCode>_(* #,##0_);_(* \(#,##0\);_(* "-"??_);_(@_)</c:formatCode>
                <c:ptCount val="4"/>
                <c:pt idx="0">
                  <c:v>609.00678791363805</c:v>
                </c:pt>
                <c:pt idx="1">
                  <c:v>252.24059196870783</c:v>
                </c:pt>
                <c:pt idx="2">
                  <c:v>262.97423418014216</c:v>
                </c:pt>
                <c:pt idx="3">
                  <c:v>284.44151860301093</c:v>
                </c:pt>
              </c:numCache>
            </c:numRef>
          </c:val>
          <c:extLst>
            <c:ext xmlns:c16="http://schemas.microsoft.com/office/drawing/2014/chart" uri="{C3380CC4-5D6E-409C-BE32-E72D297353CC}">
              <c16:uniqueId val="{00000002-CFC7-4931-B53B-11BAA230A825}"/>
            </c:ext>
          </c:extLst>
        </c:ser>
        <c:ser>
          <c:idx val="3"/>
          <c:order val="3"/>
          <c:tx>
            <c:strRef>
              <c:f>Graph!$U$9</c:f>
              <c:strCache>
                <c:ptCount val="1"/>
                <c:pt idx="0">
                  <c:v>2028</c:v>
                </c:pt>
              </c:strCache>
            </c:strRef>
          </c:tx>
          <c:spPr>
            <a:solidFill>
              <a:schemeClr val="accent4"/>
            </a:solidFill>
            <a:ln>
              <a:noFill/>
            </a:ln>
            <a:effectLst/>
          </c:spPr>
          <c:invertIfNegative val="0"/>
          <c:cat>
            <c:strRef>
              <c:f>Graph!$Q$10:$Q$13</c:f>
              <c:strCache>
                <c:ptCount val="4"/>
                <c:pt idx="0">
                  <c:v> Mooncake </c:v>
                </c:pt>
                <c:pt idx="1">
                  <c:v>Solite Cake</c:v>
                </c:pt>
                <c:pt idx="2">
                  <c:v>Cosy Biscuit</c:v>
                </c:pt>
                <c:pt idx="3">
                  <c:v>AFC Crackers</c:v>
                </c:pt>
              </c:strCache>
            </c:strRef>
          </c:cat>
          <c:val>
            <c:numRef>
              <c:f>Graph!$U$10:$U$13</c:f>
              <c:numCache>
                <c:formatCode>_(* #,##0_);_(* \(#,##0\);_(* "-"??_);_(@_)</c:formatCode>
                <c:ptCount val="4"/>
                <c:pt idx="0">
                  <c:v>594.61421978059582</c:v>
                </c:pt>
                <c:pt idx="1">
                  <c:v>244.73500575887104</c:v>
                </c:pt>
                <c:pt idx="2">
                  <c:v>255.14926132307826</c:v>
                </c:pt>
                <c:pt idx="3">
                  <c:v>275.97777245149285</c:v>
                </c:pt>
              </c:numCache>
            </c:numRef>
          </c:val>
          <c:extLst>
            <c:ext xmlns:c16="http://schemas.microsoft.com/office/drawing/2014/chart" uri="{C3380CC4-5D6E-409C-BE32-E72D297353CC}">
              <c16:uniqueId val="{00000003-CFC7-4931-B53B-11BAA230A825}"/>
            </c:ext>
          </c:extLst>
        </c:ser>
        <c:ser>
          <c:idx val="4"/>
          <c:order val="4"/>
          <c:tx>
            <c:strRef>
              <c:f>Graph!$V$9</c:f>
              <c:strCache>
                <c:ptCount val="1"/>
                <c:pt idx="0">
                  <c:v>2029</c:v>
                </c:pt>
              </c:strCache>
            </c:strRef>
          </c:tx>
          <c:spPr>
            <a:solidFill>
              <a:schemeClr val="accent5"/>
            </a:solidFill>
            <a:ln>
              <a:noFill/>
            </a:ln>
            <a:effectLst/>
          </c:spPr>
          <c:invertIfNegative val="0"/>
          <c:cat>
            <c:strRef>
              <c:f>Graph!$Q$10:$Q$13</c:f>
              <c:strCache>
                <c:ptCount val="4"/>
                <c:pt idx="0">
                  <c:v> Mooncake </c:v>
                </c:pt>
                <c:pt idx="1">
                  <c:v>Solite Cake</c:v>
                </c:pt>
                <c:pt idx="2">
                  <c:v>Cosy Biscuit</c:v>
                </c:pt>
                <c:pt idx="3">
                  <c:v>AFC Crackers</c:v>
                </c:pt>
              </c:strCache>
            </c:strRef>
          </c:cat>
          <c:val>
            <c:numRef>
              <c:f>Graph!$V$10:$V$13</c:f>
              <c:numCache>
                <c:formatCode>_(* #,##0_);_(* \(#,##0\);_(* "-"??_);_(@_)</c:formatCode>
                <c:ptCount val="4"/>
                <c:pt idx="0">
                  <c:v>580.92069106572842</c:v>
                </c:pt>
                <c:pt idx="1">
                  <c:v>237.63874347239243</c:v>
                </c:pt>
                <c:pt idx="2">
                  <c:v>247.75103042866442</c:v>
                </c:pt>
                <c:pt idx="3">
                  <c:v>267.97560434120851</c:v>
                </c:pt>
              </c:numCache>
            </c:numRef>
          </c:val>
          <c:extLst>
            <c:ext xmlns:c16="http://schemas.microsoft.com/office/drawing/2014/chart" uri="{C3380CC4-5D6E-409C-BE32-E72D297353CC}">
              <c16:uniqueId val="{00000004-CFC7-4931-B53B-11BAA230A825}"/>
            </c:ext>
          </c:extLst>
        </c:ser>
        <c:ser>
          <c:idx val="5"/>
          <c:order val="5"/>
          <c:tx>
            <c:strRef>
              <c:f>Graph!$W$9</c:f>
              <c:strCache>
                <c:ptCount val="1"/>
                <c:pt idx="0">
                  <c:v>2030</c:v>
                </c:pt>
              </c:strCache>
            </c:strRef>
          </c:tx>
          <c:spPr>
            <a:solidFill>
              <a:schemeClr val="accent6"/>
            </a:solidFill>
            <a:ln>
              <a:noFill/>
            </a:ln>
            <a:effectLst/>
          </c:spPr>
          <c:invertIfNegative val="0"/>
          <c:cat>
            <c:strRef>
              <c:f>Graph!$Q$10:$Q$13</c:f>
              <c:strCache>
                <c:ptCount val="4"/>
                <c:pt idx="0">
                  <c:v> Mooncake </c:v>
                </c:pt>
                <c:pt idx="1">
                  <c:v>Solite Cake</c:v>
                </c:pt>
                <c:pt idx="2">
                  <c:v>Cosy Biscuit</c:v>
                </c:pt>
                <c:pt idx="3">
                  <c:v>AFC Crackers</c:v>
                </c:pt>
              </c:strCache>
            </c:strRef>
          </c:cat>
          <c:val>
            <c:numRef>
              <c:f>Graph!$W$10:$W$13</c:f>
              <c:numCache>
                <c:formatCode>_(* #,##0_);_(* \(#,##0\);_(* "-"??_);_(@_)</c:formatCode>
                <c:ptCount val="4"/>
                <c:pt idx="0">
                  <c:v>567.8841956419102</c:v>
                </c:pt>
                <c:pt idx="1">
                  <c:v>230.92422707921875</c:v>
                </c:pt>
                <c:pt idx="2">
                  <c:v>240.75078993365358</c:v>
                </c:pt>
                <c:pt idx="3">
                  <c:v>260.40391564252332</c:v>
                </c:pt>
              </c:numCache>
            </c:numRef>
          </c:val>
          <c:extLst>
            <c:ext xmlns:c16="http://schemas.microsoft.com/office/drawing/2014/chart" uri="{C3380CC4-5D6E-409C-BE32-E72D297353CC}">
              <c16:uniqueId val="{00000005-CFC7-4931-B53B-11BAA230A825}"/>
            </c:ext>
          </c:extLst>
        </c:ser>
        <c:ser>
          <c:idx val="6"/>
          <c:order val="6"/>
          <c:tx>
            <c:strRef>
              <c:f>Graph!$X$9</c:f>
              <c:strCache>
                <c:ptCount val="1"/>
                <c:pt idx="0">
                  <c:v>2031</c:v>
                </c:pt>
              </c:strCache>
            </c:strRef>
          </c:tx>
          <c:spPr>
            <a:solidFill>
              <a:schemeClr val="accent1">
                <a:lumMod val="60000"/>
              </a:schemeClr>
            </a:solidFill>
            <a:ln>
              <a:noFill/>
            </a:ln>
            <a:effectLst/>
          </c:spPr>
          <c:invertIfNegative val="0"/>
          <c:cat>
            <c:strRef>
              <c:f>Graph!$Q$10:$Q$13</c:f>
              <c:strCache>
                <c:ptCount val="4"/>
                <c:pt idx="0">
                  <c:v> Mooncake </c:v>
                </c:pt>
                <c:pt idx="1">
                  <c:v>Solite Cake</c:v>
                </c:pt>
                <c:pt idx="2">
                  <c:v>Cosy Biscuit</c:v>
                </c:pt>
                <c:pt idx="3">
                  <c:v>AFC Crackers</c:v>
                </c:pt>
              </c:strCache>
            </c:strRef>
          </c:cat>
          <c:val>
            <c:numRef>
              <c:f>Graph!$X$10:$X$13</c:f>
              <c:numCache>
                <c:formatCode>_(* #,##0_);_(* \(#,##0\);_(* "-"??_);_(@_)</c:formatCode>
                <c:ptCount val="4"/>
                <c:pt idx="0">
                  <c:v>555.46573632950424</c:v>
                </c:pt>
                <c:pt idx="1">
                  <c:v>224.56607494861552</c:v>
                </c:pt>
                <c:pt idx="2">
                  <c:v>234.12207813791829</c:v>
                </c:pt>
                <c:pt idx="3">
                  <c:v>253.23408451652392</c:v>
                </c:pt>
              </c:numCache>
            </c:numRef>
          </c:val>
          <c:extLst>
            <c:ext xmlns:c16="http://schemas.microsoft.com/office/drawing/2014/chart" uri="{C3380CC4-5D6E-409C-BE32-E72D297353CC}">
              <c16:uniqueId val="{00000006-CFC7-4931-B53B-11BAA230A825}"/>
            </c:ext>
          </c:extLst>
        </c:ser>
        <c:dLbls>
          <c:showLegendKey val="0"/>
          <c:showVal val="0"/>
          <c:showCatName val="0"/>
          <c:showSerName val="0"/>
          <c:showPercent val="0"/>
          <c:showBubbleSize val="0"/>
        </c:dLbls>
        <c:gapWidth val="219"/>
        <c:overlap val="-27"/>
        <c:axId val="892519840"/>
        <c:axId val="892521088"/>
      </c:barChart>
      <c:catAx>
        <c:axId val="89251984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92521088"/>
        <c:crosses val="autoZero"/>
        <c:auto val="1"/>
        <c:lblAlgn val="ctr"/>
        <c:lblOffset val="100"/>
        <c:noMultiLvlLbl val="0"/>
      </c:catAx>
      <c:valAx>
        <c:axId val="892521088"/>
        <c:scaling>
          <c:orientation val="minMax"/>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9251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t>Forecasted Revenue of 4 products from MKD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Graph!$R$14</c:f>
              <c:strCache>
                <c:ptCount val="1"/>
                <c:pt idx="0">
                  <c:v>2025</c:v>
                </c:pt>
              </c:strCache>
            </c:strRef>
          </c:tx>
          <c:spPr>
            <a:solidFill>
              <a:schemeClr val="accent1"/>
            </a:solidFill>
            <a:ln>
              <a:noFill/>
            </a:ln>
            <a:effectLst/>
          </c:spPr>
          <c:invertIfNegative val="0"/>
          <c:cat>
            <c:strRef>
              <c:f>Graph!$Q$15:$Q$18</c:f>
              <c:strCache>
                <c:ptCount val="4"/>
                <c:pt idx="0">
                  <c:v> Mooncake </c:v>
                </c:pt>
                <c:pt idx="1">
                  <c:v>Solite Cake</c:v>
                </c:pt>
                <c:pt idx="2">
                  <c:v>Cosy Biscuit</c:v>
                </c:pt>
                <c:pt idx="3">
                  <c:v>AFC Crackers</c:v>
                </c:pt>
              </c:strCache>
            </c:strRef>
          </c:cat>
          <c:val>
            <c:numRef>
              <c:f>Graph!$R$15:$R$18</c:f>
              <c:numCache>
                <c:formatCode>_(* #,##0_);_(* \(#,##0\);_(* "-"??_);_(@_)</c:formatCode>
                <c:ptCount val="4"/>
                <c:pt idx="0">
                  <c:v>257309658.66666642</c:v>
                </c:pt>
                <c:pt idx="1">
                  <c:v>434867267.61111081</c:v>
                </c:pt>
                <c:pt idx="2">
                  <c:v>1041160008.777777</c:v>
                </c:pt>
                <c:pt idx="3">
                  <c:v>343176698.94444418</c:v>
                </c:pt>
              </c:numCache>
            </c:numRef>
          </c:val>
          <c:extLst>
            <c:ext xmlns:c16="http://schemas.microsoft.com/office/drawing/2014/chart" uri="{C3380CC4-5D6E-409C-BE32-E72D297353CC}">
              <c16:uniqueId val="{00000000-9E27-4303-9984-F89B8AE7D368}"/>
            </c:ext>
          </c:extLst>
        </c:ser>
        <c:ser>
          <c:idx val="1"/>
          <c:order val="1"/>
          <c:tx>
            <c:strRef>
              <c:f>Graph!$S$14</c:f>
              <c:strCache>
                <c:ptCount val="1"/>
                <c:pt idx="0">
                  <c:v>2026</c:v>
                </c:pt>
              </c:strCache>
            </c:strRef>
          </c:tx>
          <c:spPr>
            <a:solidFill>
              <a:schemeClr val="accent2"/>
            </a:solidFill>
            <a:ln>
              <a:noFill/>
            </a:ln>
            <a:effectLst/>
          </c:spPr>
          <c:invertIfNegative val="0"/>
          <c:cat>
            <c:strRef>
              <c:f>Graph!$Q$15:$Q$18</c:f>
              <c:strCache>
                <c:ptCount val="4"/>
                <c:pt idx="0">
                  <c:v> Mooncake </c:v>
                </c:pt>
                <c:pt idx="1">
                  <c:v>Solite Cake</c:v>
                </c:pt>
                <c:pt idx="2">
                  <c:v>Cosy Biscuit</c:v>
                </c:pt>
                <c:pt idx="3">
                  <c:v>AFC Crackers</c:v>
                </c:pt>
              </c:strCache>
            </c:strRef>
          </c:cat>
          <c:val>
            <c:numRef>
              <c:f>Graph!$S$15:$S$18</c:f>
              <c:numCache>
                <c:formatCode>_(* #,##0_);_(* \(#,##0\);_(* "-"??_);_(@_)</c:formatCode>
                <c:ptCount val="4"/>
                <c:pt idx="0">
                  <c:v>261163941.66152394</c:v>
                </c:pt>
                <c:pt idx="1">
                  <c:v>443594220.84155214</c:v>
                </c:pt>
                <c:pt idx="2">
                  <c:v>1019771390.8565586</c:v>
                </c:pt>
                <c:pt idx="3">
                  <c:v>345500300.33899266</c:v>
                </c:pt>
              </c:numCache>
            </c:numRef>
          </c:val>
          <c:extLst>
            <c:ext xmlns:c16="http://schemas.microsoft.com/office/drawing/2014/chart" uri="{C3380CC4-5D6E-409C-BE32-E72D297353CC}">
              <c16:uniqueId val="{00000001-9E27-4303-9984-F89B8AE7D368}"/>
            </c:ext>
          </c:extLst>
        </c:ser>
        <c:ser>
          <c:idx val="2"/>
          <c:order val="2"/>
          <c:tx>
            <c:strRef>
              <c:f>Graph!$T$14</c:f>
              <c:strCache>
                <c:ptCount val="1"/>
                <c:pt idx="0">
                  <c:v>2027</c:v>
                </c:pt>
              </c:strCache>
            </c:strRef>
          </c:tx>
          <c:spPr>
            <a:solidFill>
              <a:schemeClr val="accent3"/>
            </a:solidFill>
            <a:ln>
              <a:noFill/>
            </a:ln>
            <a:effectLst/>
          </c:spPr>
          <c:invertIfNegative val="0"/>
          <c:cat>
            <c:strRef>
              <c:f>Graph!$Q$15:$Q$18</c:f>
              <c:strCache>
                <c:ptCount val="4"/>
                <c:pt idx="0">
                  <c:v> Mooncake </c:v>
                </c:pt>
                <c:pt idx="1">
                  <c:v>Solite Cake</c:v>
                </c:pt>
                <c:pt idx="2">
                  <c:v>Cosy Biscuit</c:v>
                </c:pt>
                <c:pt idx="3">
                  <c:v>AFC Crackers</c:v>
                </c:pt>
              </c:strCache>
            </c:strRef>
          </c:cat>
          <c:val>
            <c:numRef>
              <c:f>Graph!$T$15:$T$18</c:f>
              <c:numCache>
                <c:formatCode>_(* #,##0_);_(* \(#,##0\);_(* "-"??_);_(@_)</c:formatCode>
                <c:ptCount val="4"/>
                <c:pt idx="0">
                  <c:v>266873405.56561685</c:v>
                </c:pt>
                <c:pt idx="1">
                  <c:v>451873455.41123241</c:v>
                </c:pt>
                <c:pt idx="2">
                  <c:v>1000748348.5401484</c:v>
                </c:pt>
                <c:pt idx="3">
                  <c:v>350301943.26908076</c:v>
                </c:pt>
              </c:numCache>
            </c:numRef>
          </c:val>
          <c:extLst>
            <c:ext xmlns:c16="http://schemas.microsoft.com/office/drawing/2014/chart" uri="{C3380CC4-5D6E-409C-BE32-E72D297353CC}">
              <c16:uniqueId val="{00000002-9E27-4303-9984-F89B8AE7D368}"/>
            </c:ext>
          </c:extLst>
        </c:ser>
        <c:ser>
          <c:idx val="3"/>
          <c:order val="3"/>
          <c:tx>
            <c:strRef>
              <c:f>Graph!$U$14</c:f>
              <c:strCache>
                <c:ptCount val="1"/>
                <c:pt idx="0">
                  <c:v>2028</c:v>
                </c:pt>
              </c:strCache>
            </c:strRef>
          </c:tx>
          <c:spPr>
            <a:solidFill>
              <a:schemeClr val="accent4"/>
            </a:solidFill>
            <a:ln>
              <a:noFill/>
            </a:ln>
            <a:effectLst/>
          </c:spPr>
          <c:invertIfNegative val="0"/>
          <c:cat>
            <c:strRef>
              <c:f>Graph!$Q$15:$Q$18</c:f>
              <c:strCache>
                <c:ptCount val="4"/>
                <c:pt idx="0">
                  <c:v> Mooncake </c:v>
                </c:pt>
                <c:pt idx="1">
                  <c:v>Solite Cake</c:v>
                </c:pt>
                <c:pt idx="2">
                  <c:v>Cosy Biscuit</c:v>
                </c:pt>
                <c:pt idx="3">
                  <c:v>AFC Crackers</c:v>
                </c:pt>
              </c:strCache>
            </c:strRef>
          </c:cat>
          <c:val>
            <c:numRef>
              <c:f>Graph!$U$15:$U$18</c:f>
              <c:numCache>
                <c:formatCode>_(* #,##0_);_(* \(#,##0\);_(* "-"??_);_(@_)</c:formatCode>
                <c:ptCount val="4"/>
                <c:pt idx="0">
                  <c:v>274925708.97041219</c:v>
                </c:pt>
                <c:pt idx="1">
                  <c:v>417285170.9016065</c:v>
                </c:pt>
                <c:pt idx="2">
                  <c:v>983996192.65372288</c:v>
                </c:pt>
                <c:pt idx="3">
                  <c:v>357859576.96743077</c:v>
                </c:pt>
              </c:numCache>
            </c:numRef>
          </c:val>
          <c:extLst>
            <c:ext xmlns:c16="http://schemas.microsoft.com/office/drawing/2014/chart" uri="{C3380CC4-5D6E-409C-BE32-E72D297353CC}">
              <c16:uniqueId val="{00000003-9E27-4303-9984-F89B8AE7D368}"/>
            </c:ext>
          </c:extLst>
        </c:ser>
        <c:ser>
          <c:idx val="4"/>
          <c:order val="4"/>
          <c:tx>
            <c:strRef>
              <c:f>Graph!$V$14</c:f>
              <c:strCache>
                <c:ptCount val="1"/>
                <c:pt idx="0">
                  <c:v>2029</c:v>
                </c:pt>
              </c:strCache>
            </c:strRef>
          </c:tx>
          <c:spPr>
            <a:solidFill>
              <a:schemeClr val="accent5"/>
            </a:solidFill>
            <a:ln>
              <a:noFill/>
            </a:ln>
            <a:effectLst/>
          </c:spPr>
          <c:invertIfNegative val="0"/>
          <c:cat>
            <c:strRef>
              <c:f>Graph!$Q$15:$Q$18</c:f>
              <c:strCache>
                <c:ptCount val="4"/>
                <c:pt idx="0">
                  <c:v> Mooncake </c:v>
                </c:pt>
                <c:pt idx="1">
                  <c:v>Solite Cake</c:v>
                </c:pt>
                <c:pt idx="2">
                  <c:v>Cosy Biscuit</c:v>
                </c:pt>
                <c:pt idx="3">
                  <c:v>AFC Crackers</c:v>
                </c:pt>
              </c:strCache>
            </c:strRef>
          </c:cat>
          <c:val>
            <c:numRef>
              <c:f>Graph!$V$15:$V$18</c:f>
              <c:numCache>
                <c:formatCode>_(* #,##0_);_(* \(#,##0\);_(* "-"??_);_(@_)</c:formatCode>
                <c:ptCount val="4"/>
                <c:pt idx="0">
                  <c:v>286201555.6191507</c:v>
                </c:pt>
                <c:pt idx="1">
                  <c:v>386765560.58863521</c:v>
                </c:pt>
                <c:pt idx="2">
                  <c:v>969436130.0299263</c:v>
                </c:pt>
                <c:pt idx="3">
                  <c:v>368542868.40989077</c:v>
                </c:pt>
              </c:numCache>
            </c:numRef>
          </c:val>
          <c:extLst>
            <c:ext xmlns:c16="http://schemas.microsoft.com/office/drawing/2014/chart" uri="{C3380CC4-5D6E-409C-BE32-E72D297353CC}">
              <c16:uniqueId val="{00000004-9E27-4303-9984-F89B8AE7D368}"/>
            </c:ext>
          </c:extLst>
        </c:ser>
        <c:ser>
          <c:idx val="5"/>
          <c:order val="5"/>
          <c:tx>
            <c:strRef>
              <c:f>Graph!$W$14</c:f>
              <c:strCache>
                <c:ptCount val="1"/>
                <c:pt idx="0">
                  <c:v>2030</c:v>
                </c:pt>
              </c:strCache>
            </c:strRef>
          </c:tx>
          <c:spPr>
            <a:solidFill>
              <a:schemeClr val="accent6"/>
            </a:solidFill>
            <a:ln>
              <a:noFill/>
            </a:ln>
            <a:effectLst/>
          </c:spPr>
          <c:invertIfNegative val="0"/>
          <c:cat>
            <c:strRef>
              <c:f>Graph!$Q$15:$Q$18</c:f>
              <c:strCache>
                <c:ptCount val="4"/>
                <c:pt idx="0">
                  <c:v> Mooncake </c:v>
                </c:pt>
                <c:pt idx="1">
                  <c:v>Solite Cake</c:v>
                </c:pt>
                <c:pt idx="2">
                  <c:v>Cosy Biscuit</c:v>
                </c:pt>
                <c:pt idx="3">
                  <c:v>AFC Crackers</c:v>
                </c:pt>
              </c:strCache>
            </c:strRef>
          </c:cat>
          <c:val>
            <c:numRef>
              <c:f>Graph!$W$15:$W$18</c:f>
              <c:numCache>
                <c:formatCode>_(* #,##0_);_(* \(#,##0\);_(* "-"??_);_(@_)</c:formatCode>
                <c:ptCount val="4"/>
                <c:pt idx="0">
                  <c:v>302079564.22176993</c:v>
                </c:pt>
                <c:pt idx="1">
                  <c:v>359891432.49275047</c:v>
                </c:pt>
                <c:pt idx="2">
                  <c:v>957004603.2404809</c:v>
                </c:pt>
                <c:pt idx="3">
                  <c:v>382838557.03901047</c:v>
                </c:pt>
              </c:numCache>
            </c:numRef>
          </c:val>
          <c:extLst>
            <c:ext xmlns:c16="http://schemas.microsoft.com/office/drawing/2014/chart" uri="{C3380CC4-5D6E-409C-BE32-E72D297353CC}">
              <c16:uniqueId val="{00000005-9E27-4303-9984-F89B8AE7D368}"/>
            </c:ext>
          </c:extLst>
        </c:ser>
        <c:ser>
          <c:idx val="6"/>
          <c:order val="6"/>
          <c:tx>
            <c:strRef>
              <c:f>Graph!$X$14</c:f>
              <c:strCache>
                <c:ptCount val="1"/>
                <c:pt idx="0">
                  <c:v>2031</c:v>
                </c:pt>
              </c:strCache>
            </c:strRef>
          </c:tx>
          <c:spPr>
            <a:solidFill>
              <a:schemeClr val="accent1">
                <a:lumMod val="60000"/>
              </a:schemeClr>
            </a:solidFill>
            <a:ln>
              <a:noFill/>
            </a:ln>
            <a:effectLst/>
          </c:spPr>
          <c:invertIfNegative val="0"/>
          <c:cat>
            <c:strRef>
              <c:f>Graph!$Q$15:$Q$18</c:f>
              <c:strCache>
                <c:ptCount val="4"/>
                <c:pt idx="0">
                  <c:v> Mooncake </c:v>
                </c:pt>
                <c:pt idx="1">
                  <c:v>Solite Cake</c:v>
                </c:pt>
                <c:pt idx="2">
                  <c:v>Cosy Biscuit</c:v>
                </c:pt>
                <c:pt idx="3">
                  <c:v>AFC Crackers</c:v>
                </c:pt>
              </c:strCache>
            </c:strRef>
          </c:cat>
          <c:val>
            <c:numRef>
              <c:f>Graph!$X$15:$X$18</c:f>
              <c:numCache>
                <c:formatCode>_(* #,##0_);_(* \(#,##0\);_(* "-"??_);_(@_)</c:formatCode>
                <c:ptCount val="4"/>
                <c:pt idx="0">
                  <c:v>324864228.30934846</c:v>
                </c:pt>
                <c:pt idx="1">
                  <c:v>336303676.02983654</c:v>
                </c:pt>
                <c:pt idx="2">
                  <c:v>946652822.19076419</c:v>
                </c:pt>
                <c:pt idx="3">
                  <c:v>401385173.05053687</c:v>
                </c:pt>
              </c:numCache>
            </c:numRef>
          </c:val>
          <c:extLst>
            <c:ext xmlns:c16="http://schemas.microsoft.com/office/drawing/2014/chart" uri="{C3380CC4-5D6E-409C-BE32-E72D297353CC}">
              <c16:uniqueId val="{00000006-9E27-4303-9984-F89B8AE7D368}"/>
            </c:ext>
          </c:extLst>
        </c:ser>
        <c:dLbls>
          <c:showLegendKey val="0"/>
          <c:showVal val="0"/>
          <c:showCatName val="0"/>
          <c:showSerName val="0"/>
          <c:showPercent val="0"/>
          <c:showBubbleSize val="0"/>
        </c:dLbls>
        <c:gapWidth val="219"/>
        <c:overlap val="-27"/>
        <c:axId val="893294688"/>
        <c:axId val="893283872"/>
      </c:barChart>
      <c:catAx>
        <c:axId val="89329468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93283872"/>
        <c:crosses val="autoZero"/>
        <c:auto val="1"/>
        <c:lblAlgn val="ctr"/>
        <c:lblOffset val="100"/>
        <c:noMultiLvlLbl val="0"/>
      </c:catAx>
      <c:valAx>
        <c:axId val="893283872"/>
        <c:scaling>
          <c:orientation val="minMax"/>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9329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t>Forecasted COGS of 4 products from MKD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Graph!$R$19</c:f>
              <c:strCache>
                <c:ptCount val="1"/>
                <c:pt idx="0">
                  <c:v>2025</c:v>
                </c:pt>
              </c:strCache>
            </c:strRef>
          </c:tx>
          <c:spPr>
            <a:solidFill>
              <a:schemeClr val="accent1"/>
            </a:solidFill>
            <a:ln>
              <a:noFill/>
            </a:ln>
            <a:effectLst/>
          </c:spPr>
          <c:invertIfNegative val="0"/>
          <c:cat>
            <c:strRef>
              <c:f>Graph!$Q$20:$Q$23</c:f>
              <c:strCache>
                <c:ptCount val="4"/>
                <c:pt idx="0">
                  <c:v> Mooncake </c:v>
                </c:pt>
                <c:pt idx="1">
                  <c:v>Solite Cake</c:v>
                </c:pt>
                <c:pt idx="2">
                  <c:v>Cosy Biscuit</c:v>
                </c:pt>
                <c:pt idx="3">
                  <c:v>AFC Crackers</c:v>
                </c:pt>
              </c:strCache>
            </c:strRef>
          </c:cat>
          <c:val>
            <c:numRef>
              <c:f>Graph!$R$20:$R$23</c:f>
              <c:numCache>
                <c:formatCode>_(* #,##0_);_(* \(#,##0\);_(* "-"??_);_(@_)</c:formatCode>
                <c:ptCount val="4"/>
                <c:pt idx="0">
                  <c:v>105221271.13333325</c:v>
                </c:pt>
                <c:pt idx="1">
                  <c:v>233162875.39999983</c:v>
                </c:pt>
                <c:pt idx="2">
                  <c:v>499331840.94444406</c:v>
                </c:pt>
                <c:pt idx="3">
                  <c:v>160580794.97777766</c:v>
                </c:pt>
              </c:numCache>
            </c:numRef>
          </c:val>
          <c:extLst>
            <c:ext xmlns:c16="http://schemas.microsoft.com/office/drawing/2014/chart" uri="{C3380CC4-5D6E-409C-BE32-E72D297353CC}">
              <c16:uniqueId val="{00000000-0A28-4F2F-991C-5DB225677309}"/>
            </c:ext>
          </c:extLst>
        </c:ser>
        <c:ser>
          <c:idx val="1"/>
          <c:order val="1"/>
          <c:tx>
            <c:strRef>
              <c:f>Graph!$S$19</c:f>
              <c:strCache>
                <c:ptCount val="1"/>
                <c:pt idx="0">
                  <c:v>2026</c:v>
                </c:pt>
              </c:strCache>
            </c:strRef>
          </c:tx>
          <c:spPr>
            <a:solidFill>
              <a:schemeClr val="accent2"/>
            </a:solidFill>
            <a:ln>
              <a:noFill/>
            </a:ln>
            <a:effectLst/>
          </c:spPr>
          <c:invertIfNegative val="0"/>
          <c:cat>
            <c:strRef>
              <c:f>Graph!$Q$20:$Q$23</c:f>
              <c:strCache>
                <c:ptCount val="4"/>
                <c:pt idx="0">
                  <c:v> Mooncake </c:v>
                </c:pt>
                <c:pt idx="1">
                  <c:v>Solite Cake</c:v>
                </c:pt>
                <c:pt idx="2">
                  <c:v>Cosy Biscuit</c:v>
                </c:pt>
                <c:pt idx="3">
                  <c:v>AFC Crackers</c:v>
                </c:pt>
              </c:strCache>
            </c:strRef>
          </c:cat>
          <c:val>
            <c:numRef>
              <c:f>Graph!$S$20:$S$23</c:f>
              <c:numCache>
                <c:formatCode>_(* #,##0_);_(* \(#,##0\);_(* "-"??_);_(@_)</c:formatCode>
                <c:ptCount val="4"/>
                <c:pt idx="0">
                  <c:v>107352073.20099688</c:v>
                </c:pt>
                <c:pt idx="1">
                  <c:v>240668724.1343362</c:v>
                </c:pt>
                <c:pt idx="2">
                  <c:v>494886605.47135758</c:v>
                </c:pt>
                <c:pt idx="3">
                  <c:v>163589465.61641014</c:v>
                </c:pt>
              </c:numCache>
            </c:numRef>
          </c:val>
          <c:extLst>
            <c:ext xmlns:c16="http://schemas.microsoft.com/office/drawing/2014/chart" uri="{C3380CC4-5D6E-409C-BE32-E72D297353CC}">
              <c16:uniqueId val="{00000001-0A28-4F2F-991C-5DB225677309}"/>
            </c:ext>
          </c:extLst>
        </c:ser>
        <c:ser>
          <c:idx val="2"/>
          <c:order val="2"/>
          <c:tx>
            <c:strRef>
              <c:f>Graph!$T$19</c:f>
              <c:strCache>
                <c:ptCount val="1"/>
                <c:pt idx="0">
                  <c:v>2027</c:v>
                </c:pt>
              </c:strCache>
            </c:strRef>
          </c:tx>
          <c:spPr>
            <a:solidFill>
              <a:schemeClr val="accent3"/>
            </a:solidFill>
            <a:ln>
              <a:noFill/>
            </a:ln>
            <a:effectLst/>
          </c:spPr>
          <c:invertIfNegative val="0"/>
          <c:cat>
            <c:strRef>
              <c:f>Graph!$Q$20:$Q$23</c:f>
              <c:strCache>
                <c:ptCount val="4"/>
                <c:pt idx="0">
                  <c:v> Mooncake </c:v>
                </c:pt>
                <c:pt idx="1">
                  <c:v>Solite Cake</c:v>
                </c:pt>
                <c:pt idx="2">
                  <c:v>Cosy Biscuit</c:v>
                </c:pt>
                <c:pt idx="3">
                  <c:v>AFC Crackers</c:v>
                </c:pt>
              </c:strCache>
            </c:strRef>
          </c:cat>
          <c:val>
            <c:numRef>
              <c:f>Graph!$T$20:$T$23</c:f>
              <c:numCache>
                <c:formatCode>_(* #,##0_);_(* \(#,##0\);_(* "-"??_);_(@_)</c:formatCode>
                <c:ptCount val="4"/>
                <c:pt idx="0">
                  <c:v>105722456.60503486</c:v>
                </c:pt>
                <c:pt idx="1">
                  <c:v>237805008.66741756</c:v>
                </c:pt>
                <c:pt idx="2">
                  <c:v>471083777.48007423</c:v>
                </c:pt>
                <c:pt idx="3">
                  <c:v>160886588.30008659</c:v>
                </c:pt>
              </c:numCache>
            </c:numRef>
          </c:val>
          <c:extLst>
            <c:ext xmlns:c16="http://schemas.microsoft.com/office/drawing/2014/chart" uri="{C3380CC4-5D6E-409C-BE32-E72D297353CC}">
              <c16:uniqueId val="{00000002-0A28-4F2F-991C-5DB225677309}"/>
            </c:ext>
          </c:extLst>
        </c:ser>
        <c:ser>
          <c:idx val="3"/>
          <c:order val="3"/>
          <c:tx>
            <c:strRef>
              <c:f>Graph!$U$19</c:f>
              <c:strCache>
                <c:ptCount val="1"/>
                <c:pt idx="0">
                  <c:v>2028</c:v>
                </c:pt>
              </c:strCache>
            </c:strRef>
          </c:tx>
          <c:spPr>
            <a:solidFill>
              <a:schemeClr val="accent4"/>
            </a:solidFill>
            <a:ln>
              <a:noFill/>
            </a:ln>
            <a:effectLst/>
          </c:spPr>
          <c:invertIfNegative val="0"/>
          <c:cat>
            <c:strRef>
              <c:f>Graph!$Q$20:$Q$23</c:f>
              <c:strCache>
                <c:ptCount val="4"/>
                <c:pt idx="0">
                  <c:v> Mooncake </c:v>
                </c:pt>
                <c:pt idx="1">
                  <c:v>Solite Cake</c:v>
                </c:pt>
                <c:pt idx="2">
                  <c:v>Cosy Biscuit</c:v>
                </c:pt>
                <c:pt idx="3">
                  <c:v>AFC Crackers</c:v>
                </c:pt>
              </c:strCache>
            </c:strRef>
          </c:cat>
          <c:val>
            <c:numRef>
              <c:f>Graph!$U$20:$U$23</c:f>
              <c:numCache>
                <c:formatCode>_(* #,##0_);_(* \(#,##0\);_(* "-"??_);_(@_)</c:formatCode>
                <c:ptCount val="4"/>
                <c:pt idx="0">
                  <c:v>119038088.64910379</c:v>
                </c:pt>
                <c:pt idx="1">
                  <c:v>241533738.25670451</c:v>
                </c:pt>
                <c:pt idx="2">
                  <c:v>509456806.66391343</c:v>
                </c:pt>
                <c:pt idx="3">
                  <c:v>180771775.76435694</c:v>
                </c:pt>
              </c:numCache>
            </c:numRef>
          </c:val>
          <c:extLst>
            <c:ext xmlns:c16="http://schemas.microsoft.com/office/drawing/2014/chart" uri="{C3380CC4-5D6E-409C-BE32-E72D297353CC}">
              <c16:uniqueId val="{00000003-0A28-4F2F-991C-5DB225677309}"/>
            </c:ext>
          </c:extLst>
        </c:ser>
        <c:ser>
          <c:idx val="4"/>
          <c:order val="4"/>
          <c:tx>
            <c:strRef>
              <c:f>Graph!$V$19</c:f>
              <c:strCache>
                <c:ptCount val="1"/>
                <c:pt idx="0">
                  <c:v>2029</c:v>
                </c:pt>
              </c:strCache>
            </c:strRef>
          </c:tx>
          <c:spPr>
            <a:solidFill>
              <a:schemeClr val="accent5"/>
            </a:solidFill>
            <a:ln>
              <a:noFill/>
            </a:ln>
            <a:effectLst/>
          </c:spPr>
          <c:invertIfNegative val="0"/>
          <c:cat>
            <c:strRef>
              <c:f>Graph!$Q$20:$Q$23</c:f>
              <c:strCache>
                <c:ptCount val="4"/>
                <c:pt idx="0">
                  <c:v> Mooncake </c:v>
                </c:pt>
                <c:pt idx="1">
                  <c:v>Solite Cake</c:v>
                </c:pt>
                <c:pt idx="2">
                  <c:v>Cosy Biscuit</c:v>
                </c:pt>
                <c:pt idx="3">
                  <c:v>AFC Crackers</c:v>
                </c:pt>
              </c:strCache>
            </c:strRef>
          </c:cat>
          <c:val>
            <c:numRef>
              <c:f>Graph!$V$20:$V$23</c:f>
              <c:numCache>
                <c:formatCode>_(* #,##0_);_(* \(#,##0\);_(* "-"??_);_(@_)</c:formatCode>
                <c:ptCount val="4"/>
                <c:pt idx="0">
                  <c:v>135357656.71317342</c:v>
                </c:pt>
                <c:pt idx="1">
                  <c:v>246032961.13878146</c:v>
                </c:pt>
                <c:pt idx="2">
                  <c:v>551612118.77889299</c:v>
                </c:pt>
                <c:pt idx="3">
                  <c:v>204600475.24400237</c:v>
                </c:pt>
              </c:numCache>
            </c:numRef>
          </c:val>
          <c:extLst>
            <c:ext xmlns:c16="http://schemas.microsoft.com/office/drawing/2014/chart" uri="{C3380CC4-5D6E-409C-BE32-E72D297353CC}">
              <c16:uniqueId val="{00000004-0A28-4F2F-991C-5DB225677309}"/>
            </c:ext>
          </c:extLst>
        </c:ser>
        <c:ser>
          <c:idx val="5"/>
          <c:order val="5"/>
          <c:tx>
            <c:strRef>
              <c:f>Graph!$W$19</c:f>
              <c:strCache>
                <c:ptCount val="1"/>
                <c:pt idx="0">
                  <c:v>2030</c:v>
                </c:pt>
              </c:strCache>
            </c:strRef>
          </c:tx>
          <c:spPr>
            <a:solidFill>
              <a:schemeClr val="accent6"/>
            </a:solidFill>
            <a:ln>
              <a:noFill/>
            </a:ln>
            <a:effectLst/>
          </c:spPr>
          <c:invertIfNegative val="0"/>
          <c:cat>
            <c:strRef>
              <c:f>Graph!$Q$20:$Q$23</c:f>
              <c:strCache>
                <c:ptCount val="4"/>
                <c:pt idx="0">
                  <c:v> Mooncake </c:v>
                </c:pt>
                <c:pt idx="1">
                  <c:v>Solite Cake</c:v>
                </c:pt>
                <c:pt idx="2">
                  <c:v>Cosy Biscuit</c:v>
                </c:pt>
                <c:pt idx="3">
                  <c:v>AFC Crackers</c:v>
                </c:pt>
              </c:strCache>
            </c:strRef>
          </c:cat>
          <c:val>
            <c:numRef>
              <c:f>Graph!$W$20:$W$23</c:f>
              <c:numCache>
                <c:formatCode>_(* #,##0_);_(* \(#,##0\);_(* "-"??_);_(@_)</c:formatCode>
                <c:ptCount val="4"/>
                <c:pt idx="0">
                  <c:v>155959217.31289455</c:v>
                </c:pt>
                <c:pt idx="1">
                  <c:v>251412319.8165597</c:v>
                </c:pt>
                <c:pt idx="2">
                  <c:v>597995854.6983043</c:v>
                </c:pt>
                <c:pt idx="3">
                  <c:v>233401609.39650407</c:v>
                </c:pt>
              </c:numCache>
            </c:numRef>
          </c:val>
          <c:extLst>
            <c:ext xmlns:c16="http://schemas.microsoft.com/office/drawing/2014/chart" uri="{C3380CC4-5D6E-409C-BE32-E72D297353CC}">
              <c16:uniqueId val="{00000005-0A28-4F2F-991C-5DB225677309}"/>
            </c:ext>
          </c:extLst>
        </c:ser>
        <c:ser>
          <c:idx val="6"/>
          <c:order val="6"/>
          <c:tx>
            <c:strRef>
              <c:f>Graph!$X$19</c:f>
              <c:strCache>
                <c:ptCount val="1"/>
                <c:pt idx="0">
                  <c:v>2031</c:v>
                </c:pt>
              </c:strCache>
            </c:strRef>
          </c:tx>
          <c:spPr>
            <a:solidFill>
              <a:schemeClr val="accent1">
                <a:lumMod val="60000"/>
              </a:schemeClr>
            </a:solidFill>
            <a:ln>
              <a:noFill/>
            </a:ln>
            <a:effectLst/>
          </c:spPr>
          <c:invertIfNegative val="0"/>
          <c:cat>
            <c:strRef>
              <c:f>Graph!$Q$20:$Q$23</c:f>
              <c:strCache>
                <c:ptCount val="4"/>
                <c:pt idx="0">
                  <c:v> Mooncake </c:v>
                </c:pt>
                <c:pt idx="1">
                  <c:v>Solite Cake</c:v>
                </c:pt>
                <c:pt idx="2">
                  <c:v>Cosy Biscuit</c:v>
                </c:pt>
                <c:pt idx="3">
                  <c:v>AFC Crackers</c:v>
                </c:pt>
              </c:strCache>
            </c:strRef>
          </c:cat>
          <c:val>
            <c:numRef>
              <c:f>Graph!$X$20:$X$23</c:f>
              <c:numCache>
                <c:formatCode>_(* #,##0_);_(* \(#,##0\);_(* "-"??_);_(@_)</c:formatCode>
                <c:ptCount val="4"/>
                <c:pt idx="0">
                  <c:v>182985173.25387368</c:v>
                </c:pt>
                <c:pt idx="1">
                  <c:v>257806470.22094753</c:v>
                </c:pt>
                <c:pt idx="2">
                  <c:v>649115577.71475041</c:v>
                </c:pt>
                <c:pt idx="3">
                  <c:v>268532374.72332406</c:v>
                </c:pt>
              </c:numCache>
            </c:numRef>
          </c:val>
          <c:extLst>
            <c:ext xmlns:c16="http://schemas.microsoft.com/office/drawing/2014/chart" uri="{C3380CC4-5D6E-409C-BE32-E72D297353CC}">
              <c16:uniqueId val="{00000006-0A28-4F2F-991C-5DB225677309}"/>
            </c:ext>
          </c:extLst>
        </c:ser>
        <c:dLbls>
          <c:showLegendKey val="0"/>
          <c:showVal val="0"/>
          <c:showCatName val="0"/>
          <c:showSerName val="0"/>
          <c:showPercent val="0"/>
          <c:showBubbleSize val="0"/>
        </c:dLbls>
        <c:gapWidth val="219"/>
        <c:overlap val="-27"/>
        <c:axId val="793706704"/>
        <c:axId val="793715856"/>
      </c:barChart>
      <c:catAx>
        <c:axId val="79370670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3715856"/>
        <c:crosses val="autoZero"/>
        <c:auto val="1"/>
        <c:lblAlgn val="ctr"/>
        <c:lblOffset val="100"/>
        <c:noMultiLvlLbl val="0"/>
      </c:catAx>
      <c:valAx>
        <c:axId val="793715856"/>
        <c:scaling>
          <c:orientation val="minMax"/>
        </c:scaling>
        <c:delete val="0"/>
        <c:axPos val="l"/>
        <c:numFmt formatCode="_(* #,##0_);_(* \(#,##0\);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lgn="ct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370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[1]FCFE!$A$3</c:f>
              <c:strCache>
                <c:ptCount val="1"/>
                <c:pt idx="0">
                  <c:v>Total revenue</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[1]FCFE!$B$2:$K$2</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[1]FCFE!$B$3:$K$3</c:f>
              <c:numCache>
                <c:formatCode>General</c:formatCode>
                <c:ptCount val="10"/>
                <c:pt idx="0">
                  <c:v>52561.95</c:v>
                </c:pt>
                <c:pt idx="1">
                  <c:v>56318.123</c:v>
                </c:pt>
                <c:pt idx="2">
                  <c:v>59636.286</c:v>
                </c:pt>
                <c:pt idx="3">
                  <c:v>60919.165000000001</c:v>
                </c:pt>
                <c:pt idx="4">
                  <c:v>59956.247000000003</c:v>
                </c:pt>
                <c:pt idx="5">
                  <c:v>60528.348398094349</c:v>
                </c:pt>
                <c:pt idx="6">
                  <c:v>61223.42902614129</c:v>
                </c:pt>
                <c:pt idx="7">
                  <c:v>62003.395290794142</c:v>
                </c:pt>
                <c:pt idx="8">
                  <c:v>62869.367433309628</c:v>
                </c:pt>
                <c:pt idx="9">
                  <c:v>63823.005015414266</c:v>
                </c:pt>
              </c:numCache>
            </c:numRef>
          </c:val>
          <c:extLst>
            <c:ext xmlns:c16="http://schemas.microsoft.com/office/drawing/2014/chart" uri="{C3380CC4-5D6E-409C-BE32-E72D297353CC}">
              <c16:uniqueId val="{00000000-283C-49C7-A9F5-C1AE17E9431C}"/>
            </c:ext>
          </c:extLst>
        </c:ser>
        <c:dLbls>
          <c:showLegendKey val="0"/>
          <c:showVal val="0"/>
          <c:showCatName val="0"/>
          <c:showSerName val="0"/>
          <c:showPercent val="0"/>
          <c:showBubbleSize val="0"/>
        </c:dLbls>
        <c:gapWidth val="100"/>
        <c:overlap val="-24"/>
        <c:axId val="759337376"/>
        <c:axId val="464356272"/>
      </c:barChart>
      <c:catAx>
        <c:axId val="759337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4356272"/>
        <c:crosses val="autoZero"/>
        <c:auto val="1"/>
        <c:lblAlgn val="ctr"/>
        <c:lblOffset val="100"/>
        <c:noMultiLvlLbl val="0"/>
      </c:catAx>
      <c:valAx>
        <c:axId val="46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93373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[1]FCFE!$V$33</c:f>
              <c:strCache>
                <c:ptCount val="1"/>
                <c:pt idx="0">
                  <c:v>Sua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[1]FCFE!$W$32:$AB$32</c:f>
              <c:strCache>
                <c:ptCount val="6"/>
                <c:pt idx="0">
                  <c:v>2018</c:v>
                </c:pt>
                <c:pt idx="1">
                  <c:v>2019</c:v>
                </c:pt>
                <c:pt idx="2">
                  <c:v>2020</c:v>
                </c:pt>
                <c:pt idx="3">
                  <c:v>2021</c:v>
                </c:pt>
                <c:pt idx="4">
                  <c:v>2022</c:v>
                </c:pt>
                <c:pt idx="5">
                  <c:v>2023F</c:v>
                </c:pt>
              </c:strCache>
            </c:strRef>
          </c:cat>
          <c:val>
            <c:numRef>
              <c:f>[1]FCFE!$W$33:$AB$33</c:f>
              <c:numCache>
                <c:formatCode>General</c:formatCode>
                <c:ptCount val="6"/>
                <c:pt idx="0">
                  <c:v>31</c:v>
                </c:pt>
                <c:pt idx="1">
                  <c:v>32</c:v>
                </c:pt>
                <c:pt idx="2">
                  <c:v>34</c:v>
                </c:pt>
                <c:pt idx="3">
                  <c:v>37</c:v>
                </c:pt>
                <c:pt idx="4">
                  <c:v>39</c:v>
                </c:pt>
                <c:pt idx="5">
                  <c:v>42</c:v>
                </c:pt>
              </c:numCache>
            </c:numRef>
          </c:val>
          <c:extLst>
            <c:ext xmlns:c16="http://schemas.microsoft.com/office/drawing/2014/chart" uri="{C3380CC4-5D6E-409C-BE32-E72D297353CC}">
              <c16:uniqueId val="{00000000-4CA9-4A0B-893C-9317E7665380}"/>
            </c:ext>
          </c:extLst>
        </c:ser>
        <c:dLbls>
          <c:showLegendKey val="0"/>
          <c:showVal val="0"/>
          <c:showCatName val="0"/>
          <c:showSerName val="0"/>
          <c:showPercent val="0"/>
          <c:showBubbleSize val="0"/>
        </c:dLbls>
        <c:gapWidth val="100"/>
        <c:overlap val="-24"/>
        <c:axId val="247222167"/>
        <c:axId val="247211727"/>
      </c:barChart>
      <c:catAx>
        <c:axId val="247222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11727"/>
        <c:crosses val="autoZero"/>
        <c:auto val="1"/>
        <c:lblAlgn val="ctr"/>
        <c:lblOffset val="100"/>
        <c:noMultiLvlLbl val="0"/>
      </c:catAx>
      <c:valAx>
        <c:axId val="247211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22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[1]FCFE!$A$48</c:f>
              <c:strCache>
                <c:ptCount val="1"/>
                <c:pt idx="0">
                  <c:v>COST BREAKDOWN</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[1]FCFE!$B$47:$K$47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[1]FCFE!$B$48:$K$48</c:f>
              <c:numCache>
                <c:formatCode>General</c:formatCode>
                <c:ptCount val="10"/>
                <c:pt idx="0">
                  <c:v>42378.753979909998</c:v>
                </c:pt>
                <c:pt idx="1">
                  <c:v>45758.074290750003</c:v>
                </c:pt>
                <c:pt idx="2">
                  <c:v>34956.943557933002</c:v>
                </c:pt>
                <c:pt idx="3">
                  <c:v>50241.584443779007</c:v>
                </c:pt>
                <c:pt idx="4">
                  <c:v>51354.195901306994</c:v>
                </c:pt>
                <c:pt idx="5">
                  <c:v>49067.986032907793</c:v>
                </c:pt>
                <c:pt idx="6">
                  <c:v>49745.939876931443</c:v>
                </c:pt>
                <c:pt idx="7">
                  <c:v>50665.151857869918</c:v>
                </c:pt>
                <c:pt idx="8">
                  <c:v>51284.803720800359</c:v>
                </c:pt>
                <c:pt idx="9">
                  <c:v>51937.319563267723</c:v>
                </c:pt>
              </c:numCache>
            </c:numRef>
          </c:val>
          <c:extLst>
            <c:ext xmlns:c16="http://schemas.microsoft.com/office/drawing/2014/chart" uri="{C3380CC4-5D6E-409C-BE32-E72D297353CC}">
              <c16:uniqueId val="{00000000-8E3F-41DD-B757-F2B763D78B16}"/>
            </c:ext>
          </c:extLst>
        </c:ser>
        <c:dLbls>
          <c:showLegendKey val="0"/>
          <c:showVal val="0"/>
          <c:showCatName val="0"/>
          <c:showSerName val="0"/>
          <c:showPercent val="0"/>
          <c:showBubbleSize val="0"/>
        </c:dLbls>
        <c:gapWidth val="100"/>
        <c:overlap val="-24"/>
        <c:axId val="1223745711"/>
        <c:axId val="1601731487"/>
      </c:barChart>
      <c:catAx>
        <c:axId val="12237457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01731487"/>
        <c:crosses val="autoZero"/>
        <c:auto val="1"/>
        <c:lblAlgn val="ctr"/>
        <c:lblOffset val="100"/>
        <c:noMultiLvlLbl val="0"/>
      </c:catAx>
      <c:valAx>
        <c:axId val="1601731487"/>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3745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[1]FCFE!$A$89</c:f>
              <c:strCache>
                <c:ptCount val="1"/>
                <c:pt idx="0">
                  <c:v>NET INCOME</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[1]FCFE!$B$88:$K$88</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[1]FCFE!$B$89:$K$89</c:f>
              <c:numCache>
                <c:formatCode>General</c:formatCode>
                <c:ptCount val="10"/>
                <c:pt idx="0">
                  <c:v>10183.196020089999</c:v>
                </c:pt>
                <c:pt idx="1">
                  <c:v>10560.048709249997</c:v>
                </c:pt>
                <c:pt idx="2">
                  <c:v>24679.342442066998</c:v>
                </c:pt>
                <c:pt idx="3">
                  <c:v>10677.580556220993</c:v>
                </c:pt>
                <c:pt idx="4">
                  <c:v>8602.0510986930094</c:v>
                </c:pt>
                <c:pt idx="5">
                  <c:v>11460.362365186556</c:v>
                </c:pt>
                <c:pt idx="6">
                  <c:v>11477.489149209847</c:v>
                </c:pt>
                <c:pt idx="7">
                  <c:v>11338.243432924224</c:v>
                </c:pt>
                <c:pt idx="8">
                  <c:v>11584.563712509269</c:v>
                </c:pt>
                <c:pt idx="9">
                  <c:v>11885.685452146543</c:v>
                </c:pt>
              </c:numCache>
            </c:numRef>
          </c:val>
          <c:extLst>
            <c:ext xmlns:c16="http://schemas.microsoft.com/office/drawing/2014/chart" uri="{C3380CC4-5D6E-409C-BE32-E72D297353CC}">
              <c16:uniqueId val="{00000000-3744-45DA-AC8B-7B5F6B9A922F}"/>
            </c:ext>
          </c:extLst>
        </c:ser>
        <c:dLbls>
          <c:showLegendKey val="0"/>
          <c:showVal val="0"/>
          <c:showCatName val="0"/>
          <c:showSerName val="0"/>
          <c:showPercent val="0"/>
          <c:showBubbleSize val="0"/>
        </c:dLbls>
        <c:gapWidth val="100"/>
        <c:overlap val="-24"/>
        <c:axId val="1539837935"/>
        <c:axId val="464353392"/>
      </c:barChart>
      <c:catAx>
        <c:axId val="15398379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4353392"/>
        <c:crosses val="autoZero"/>
        <c:auto val="1"/>
        <c:lblAlgn val="ctr"/>
        <c:lblOffset val="100"/>
        <c:noMultiLvlLbl val="0"/>
      </c:catAx>
      <c:valAx>
        <c:axId val="464353392"/>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398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343890790989006E-2"/>
          <c:y val="1.9382444579652183E-2"/>
          <c:w val="0.90192599281581209"/>
          <c:h val="0.76422681539807524"/>
        </c:manualLayout>
      </c:layout>
      <c:barChart>
        <c:barDir val="col"/>
        <c:grouping val="stacked"/>
        <c:varyColors val="0"/>
        <c:ser>
          <c:idx val="0"/>
          <c:order val="0"/>
          <c:tx>
            <c:strRef>
              <c:f>'[1]revenue breakdown'!$T$4</c:f>
              <c:strCache>
                <c:ptCount val="1"/>
                <c:pt idx="0">
                  <c:v>Baby Food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breakdown'!$V$4:$Y$4</c:f>
              <c:numCache>
                <c:formatCode>General</c:formatCode>
                <c:ptCount val="4"/>
                <c:pt idx="0">
                  <c:v>6282.73</c:v>
                </c:pt>
                <c:pt idx="1">
                  <c:v>6582.5418999999993</c:v>
                </c:pt>
                <c:pt idx="2">
                  <c:v>6853.1112000000012</c:v>
                </c:pt>
                <c:pt idx="3">
                  <c:v>7271.4431999999997</c:v>
                </c:pt>
              </c:numCache>
            </c:numRef>
          </c:val>
          <c:extLst>
            <c:ext xmlns:c16="http://schemas.microsoft.com/office/drawing/2014/chart" uri="{C3380CC4-5D6E-409C-BE32-E72D297353CC}">
              <c16:uniqueId val="{00000000-B8D4-4A99-B85D-C15E928EF5E3}"/>
            </c:ext>
          </c:extLst>
        </c:ser>
        <c:ser>
          <c:idx val="1"/>
          <c:order val="1"/>
          <c:tx>
            <c:strRef>
              <c:f>'[1]revenue breakdown'!$T$5</c:f>
              <c:strCache>
                <c:ptCount val="1"/>
                <c:pt idx="0">
                  <c:v>Drinking Milk Products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breakdown'!$V$5:$Y$5</c:f>
              <c:numCache>
                <c:formatCode>General</c:formatCode>
                <c:ptCount val="4"/>
                <c:pt idx="0">
                  <c:v>24016.704000000005</c:v>
                </c:pt>
                <c:pt idx="1">
                  <c:v>26157.1548</c:v>
                </c:pt>
                <c:pt idx="2">
                  <c:v>27401.003399999998</c:v>
                </c:pt>
                <c:pt idx="3">
                  <c:v>27325.682800000002</c:v>
                </c:pt>
              </c:numCache>
            </c:numRef>
          </c:val>
          <c:extLst>
            <c:ext xmlns:c16="http://schemas.microsoft.com/office/drawing/2014/chart" uri="{C3380CC4-5D6E-409C-BE32-E72D297353CC}">
              <c16:uniqueId val="{00000001-B8D4-4A99-B85D-C15E928EF5E3}"/>
            </c:ext>
          </c:extLst>
        </c:ser>
        <c:ser>
          <c:idx val="2"/>
          <c:order val="2"/>
          <c:tx>
            <c:strRef>
              <c:f>'[1]revenue breakdown'!$T$6</c:f>
              <c:strCache>
                <c:ptCount val="1"/>
                <c:pt idx="0">
                  <c:v>Yoghurt and Sour Milk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breakdown'!$V$6:$Y$6</c:f>
              <c:numCache>
                <c:formatCode>General</c:formatCode>
                <c:ptCount val="4"/>
                <c:pt idx="0">
                  <c:v>11235.972</c:v>
                </c:pt>
                <c:pt idx="1">
                  <c:v>12499.762799999999</c:v>
                </c:pt>
                <c:pt idx="2">
                  <c:v>13519.2</c:v>
                </c:pt>
                <c:pt idx="3">
                  <c:v>14228.146799999999</c:v>
                </c:pt>
              </c:numCache>
            </c:numRef>
          </c:val>
          <c:extLst>
            <c:ext xmlns:c16="http://schemas.microsoft.com/office/drawing/2014/chart" uri="{C3380CC4-5D6E-409C-BE32-E72D297353CC}">
              <c16:uniqueId val="{00000002-B8D4-4A99-B85D-C15E928EF5E3}"/>
            </c:ext>
          </c:extLst>
        </c:ser>
        <c:ser>
          <c:idx val="3"/>
          <c:order val="3"/>
          <c:tx>
            <c:strRef>
              <c:f>'[1]revenue breakdown'!$T$7</c:f>
              <c:strCache>
                <c:ptCount val="1"/>
                <c:pt idx="0">
                  <c:v>Condensed milk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breakdown'!$V$7:$Y$7</c:f>
              <c:numCache>
                <c:formatCode>General</c:formatCode>
                <c:ptCount val="4"/>
                <c:pt idx="0">
                  <c:v>6533.944199999999</c:v>
                </c:pt>
                <c:pt idx="1">
                  <c:v>7147.5887999999986</c:v>
                </c:pt>
                <c:pt idx="2">
                  <c:v>7398.7779999999993</c:v>
                </c:pt>
                <c:pt idx="3">
                  <c:v>7802.7528000000002</c:v>
                </c:pt>
              </c:numCache>
            </c:numRef>
          </c:val>
          <c:extLst>
            <c:ext xmlns:c16="http://schemas.microsoft.com/office/drawing/2014/chart" uri="{C3380CC4-5D6E-409C-BE32-E72D297353CC}">
              <c16:uniqueId val="{00000003-B8D4-4A99-B85D-C15E928EF5E3}"/>
            </c:ext>
          </c:extLst>
        </c:ser>
        <c:ser>
          <c:idx val="4"/>
          <c:order val="4"/>
          <c:tx>
            <c:strRef>
              <c:f>'[1]revenue breakdown'!$T$8</c:f>
              <c:strCache>
                <c:ptCount val="1"/>
                <c:pt idx="0">
                  <c:v>Plant-based and other dairy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breakdown'!$V$8:$Y$8</c:f>
              <c:numCache>
                <c:formatCode>General</c:formatCode>
                <c:ptCount val="4"/>
                <c:pt idx="0">
                  <c:v>1549.1143999999997</c:v>
                </c:pt>
                <c:pt idx="1">
                  <c:v>1638.1554000000001</c:v>
                </c:pt>
                <c:pt idx="2">
                  <c:v>1673.2950000000001</c:v>
                </c:pt>
                <c:pt idx="3">
                  <c:v>1714.5980000000002</c:v>
                </c:pt>
              </c:numCache>
            </c:numRef>
          </c:val>
          <c:extLst>
            <c:ext xmlns:c16="http://schemas.microsoft.com/office/drawing/2014/chart" uri="{C3380CC4-5D6E-409C-BE32-E72D297353CC}">
              <c16:uniqueId val="{00000004-B8D4-4A99-B85D-C15E928EF5E3}"/>
            </c:ext>
          </c:extLst>
        </c:ser>
        <c:dLbls>
          <c:dLblPos val="ctr"/>
          <c:showLegendKey val="0"/>
          <c:showVal val="1"/>
          <c:showCatName val="0"/>
          <c:showSerName val="0"/>
          <c:showPercent val="0"/>
          <c:showBubbleSize val="0"/>
        </c:dLbls>
        <c:gapWidth val="150"/>
        <c:overlap val="100"/>
        <c:axId val="518662800"/>
        <c:axId val="518663880"/>
        <c:extLst>
          <c:ext xmlns:c15="http://schemas.microsoft.com/office/drawing/2012/chart" uri="{02D57815-91ED-43cb-92C2-25804820EDAC}">
            <c15:filteredBarSeries>
              <c15:ser>
                <c:idx val="5"/>
                <c:order val="5"/>
                <c:tx>
                  <c:v>CAGR</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'[1]revenue breakdown'!$V$3:$Y$3</c15:sqref>
                        </c15:formulaRef>
                      </c:ext>
                    </c:extLst>
                    <c:numCache>
                      <c:formatCode>General</c:formatCode>
                      <c:ptCount val="4"/>
                      <c:pt idx="0">
                        <c:v>2019</c:v>
                      </c:pt>
                      <c:pt idx="1">
                        <c:v>2020</c:v>
                      </c:pt>
                      <c:pt idx="2">
                        <c:v>2021</c:v>
                      </c:pt>
                      <c:pt idx="3">
                        <c:v>2022</c:v>
                      </c:pt>
                    </c:numCache>
                  </c:numRef>
                </c:cat>
                <c:val>
                  <c:numRef>
                    <c:extLst>
                      <c:ext uri="{02D57815-91ED-43cb-92C2-25804820EDAC}">
                        <c15:formulaRef>
                          <c15:sqref>'[1]revenue breakdown'!$U$13:$U$14</c15:sqref>
                        </c15:formulaRef>
                      </c:ext>
                    </c:extLst>
                    <c:numCache>
                      <c:formatCode>General</c:formatCode>
                      <c:ptCount val="2"/>
                      <c:pt idx="0">
                        <c:v>3.9189550209582702E-2</c:v>
                      </c:pt>
                      <c:pt idx="1">
                        <c:v>7.8379100419165397E-3</c:v>
                      </c:pt>
                    </c:numCache>
                  </c:numRef>
                </c:val>
                <c:extLst>
                  <c:ext xmlns:c16="http://schemas.microsoft.com/office/drawing/2014/chart" uri="{C3380CC4-5D6E-409C-BE32-E72D297353CC}">
                    <c16:uniqueId val="{00000008-B8D4-4A99-B85D-C15E928EF5E3}"/>
                  </c:ext>
                </c:extLst>
              </c15:ser>
            </c15:filteredBarSeries>
          </c:ext>
        </c:extLst>
      </c:barChart>
      <c:scatterChart>
        <c:scatterStyle val="lineMarker"/>
        <c:varyColors val="0"/>
        <c:ser>
          <c:idx val="7"/>
          <c:order val="7"/>
          <c:tx>
            <c:strRef>
              <c:f>'[1]revenue breakdown'!$T$13</c:f>
              <c:strCache>
                <c:ptCount val="1"/>
                <c:pt idx="0">
                  <c:v>CAGR</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none"/>
          </c:marker>
          <c:dLbls>
            <c:dLbl>
              <c:idx val="1"/>
              <c:layout>
                <c:manualLayout>
                  <c:x val="-0.38948807637263161"/>
                  <c:y val="1.375758303482909E-2"/>
                </c:manualLayout>
              </c:layout>
              <c:tx>
                <c:rich>
                  <a:bodyPr rot="-360000" spcFirstLastPara="1" vertOverflow="ellipsis"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fld id="{5037C86C-57B9-459E-BFE3-54E6EB7408F2}" type="SERIESNAME">
                      <a:rPr lang="en-US"/>
                      <a:pPr>
                        <a:defRPr/>
                      </a:pPr>
                      <a:t>[SERIES NAME]</a:t>
                    </a:fld>
                    <a:r>
                      <a:rPr lang="en-US" baseline="0"/>
                      <a:t>: 2.17%</a:t>
                    </a:r>
                  </a:p>
                </c:rich>
              </c:tx>
              <c:spPr>
                <a:noFill/>
                <a:ln>
                  <a:noFill/>
                </a:ln>
                <a:effectLst/>
              </c:spPr>
              <c:txPr>
                <a:bodyPr rot="-360000" spcFirstLastPara="1" vertOverflow="ellipsis"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8D4-4A99-B85D-C15E928EF5E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'[1]revenue breakdown'!$X$13:$X$14</c:f>
              <c:numCache>
                <c:formatCode>General</c:formatCode>
                <c:ptCount val="2"/>
                <c:pt idx="0">
                  <c:v>1</c:v>
                </c:pt>
                <c:pt idx="1">
                  <c:v>4</c:v>
                </c:pt>
              </c:numCache>
            </c:numRef>
          </c:xVal>
          <c:yVal>
            <c:numRef>
              <c:f>'[1]revenue breakdown'!$Y$13:$Y$14</c:f>
              <c:numCache>
                <c:formatCode>General</c:formatCode>
                <c:ptCount val="2"/>
                <c:pt idx="0">
                  <c:v>52376.53244000001</c:v>
                </c:pt>
                <c:pt idx="1">
                  <c:v>67094.017140000011</c:v>
                </c:pt>
              </c:numCache>
            </c:numRef>
          </c:yVal>
          <c:smooth val="0"/>
          <c:extLst>
            <c:ext xmlns:c16="http://schemas.microsoft.com/office/drawing/2014/chart" uri="{C3380CC4-5D6E-409C-BE32-E72D297353CC}">
              <c16:uniqueId val="{00000006-B8D4-4A99-B85D-C15E928EF5E3}"/>
            </c:ext>
          </c:extLst>
        </c:ser>
        <c:ser>
          <c:idx val="8"/>
          <c:order val="8"/>
          <c:tx>
            <c:strRef>
              <c:f>'[1]revenue breakdown'!$V$12</c:f>
              <c:strCache>
                <c:ptCount val="1"/>
                <c:pt idx="0">
                  <c:v>CAGR: 5.92%</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xVal>
            <c:numRef>
              <c:f>'[1]revenue breakdown'!$Z$14</c:f>
              <c:numCache>
                <c:formatCode>General</c:formatCode>
                <c:ptCount val="1"/>
                <c:pt idx="0">
                  <c:v>2.5</c:v>
                </c:pt>
              </c:numCache>
            </c:numRef>
          </c:xVal>
          <c:yVal>
            <c:numRef>
              <c:f>'[1]revenue breakdown'!$AA$13</c:f>
              <c:numCache>
                <c:formatCode>General</c:formatCode>
                <c:ptCount val="1"/>
                <c:pt idx="0">
                  <c:v>59735.27479000001</c:v>
                </c:pt>
              </c:numCache>
            </c:numRef>
          </c:yVal>
          <c:smooth val="0"/>
          <c:extLst>
            <c:ext xmlns:c16="http://schemas.microsoft.com/office/drawing/2014/chart" uri="{C3380CC4-5D6E-409C-BE32-E72D297353CC}">
              <c16:uniqueId val="{00000007-B8D4-4A99-B85D-C15E928EF5E3}"/>
            </c:ext>
          </c:extLst>
        </c:ser>
        <c:dLbls>
          <c:showLegendKey val="0"/>
          <c:showVal val="0"/>
          <c:showCatName val="0"/>
          <c:showSerName val="0"/>
          <c:showPercent val="0"/>
          <c:showBubbleSize val="0"/>
        </c:dLbls>
        <c:axId val="518662800"/>
        <c:axId val="518663880"/>
        <c:extLst>
          <c:ext xmlns:c15="http://schemas.microsoft.com/office/drawing/2012/chart" uri="{02D57815-91ED-43cb-92C2-25804820EDAC}">
            <c15:filteredScatterSeries>
              <c15:ser>
                <c:idx val="6"/>
                <c:order val="6"/>
                <c:tx>
                  <c:strRef>
                    <c:extLst>
                      <c:ext uri="{02D57815-91ED-43cb-92C2-25804820EDAC}">
                        <c15:formulaRef>
                          <c15:sqref>'[1]revenue breakdown'!$T$9</c15:sqref>
                        </c15:formulaRef>
                      </c:ext>
                    </c:extLst>
                    <c:strCache>
                      <c:ptCount val="1"/>
                      <c:pt idx="0">
                        <c:v>Force zero</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extLst>
                      <c:ext uri="{02D57815-91ED-43cb-92C2-25804820EDAC}">
                        <c15:formulaRef>
                          <c15:sqref>'[1]revenue breakdown'!$U$9:$Z$9</c15:sqref>
                        </c15:formulaRef>
                      </c:ext>
                    </c:extLst>
                    <c:numCache>
                      <c:formatCode>General</c:formatCode>
                      <c:ptCount val="6"/>
                      <c:pt idx="0">
                        <c:v>0</c:v>
                      </c:pt>
                    </c:numCache>
                  </c:numRef>
                </c:yVal>
                <c:smooth val="0"/>
                <c:extLst>
                  <c:ext xmlns:c16="http://schemas.microsoft.com/office/drawing/2014/chart" uri="{C3380CC4-5D6E-409C-BE32-E72D297353CC}">
                    <c16:uniqueId val="{00000009-B8D4-4A99-B85D-C15E928EF5E3}"/>
                  </c:ext>
                </c:extLst>
              </c15:ser>
            </c15:filteredScatterSeries>
          </c:ext>
        </c:extLst>
      </c:scatterChart>
      <c:catAx>
        <c:axId val="518662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18663880"/>
        <c:crosses val="autoZero"/>
        <c:auto val="1"/>
        <c:lblAlgn val="ctr"/>
        <c:lblOffset val="100"/>
        <c:noMultiLvlLbl val="0"/>
      </c:catAx>
      <c:valAx>
        <c:axId val="518663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18662800"/>
        <c:crosses val="autoZero"/>
        <c:crossBetween val="between"/>
      </c:valAx>
      <c:spPr>
        <a:noFill/>
        <a:ln>
          <a:noFill/>
        </a:ln>
        <a:effectLst/>
      </c:spPr>
    </c:plotArea>
    <c:legend>
      <c:legendPos val="r"/>
      <c:legendEntry>
        <c:idx val="5"/>
        <c:delete val="1"/>
      </c:legendEntry>
      <c:legendEntry>
        <c:idx val="6"/>
        <c:delete val="1"/>
      </c:legendEntry>
      <c:layout>
        <c:manualLayout>
          <c:xMode val="edge"/>
          <c:yMode val="edge"/>
          <c:x val="0"/>
          <c:y val="0.87164348606020747"/>
          <c:w val="1"/>
          <c:h val="0.12566815992805269"/>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sz="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052188181513166E-2"/>
          <c:y val="7.407407407407407E-2"/>
          <c:w val="0.8705620823547503"/>
          <c:h val="0.85885024788568098"/>
        </c:manualLayout>
      </c:layout>
      <c:barChart>
        <c:barDir val="col"/>
        <c:grouping val="clustered"/>
        <c:varyColors val="0"/>
        <c:ser>
          <c:idx val="0"/>
          <c:order val="0"/>
          <c:tx>
            <c:strRef>
              <c:f>[1]FCFE!$T$28</c:f>
              <c:strCache>
                <c:ptCount val="1"/>
                <c:pt idx="0">
                  <c:v>Drinking milk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[1]FCFE!$U$27:$AD$27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[1]FCFE!$U$28:$AD$28</c:f>
              <c:numCache>
                <c:formatCode>General</c:formatCode>
                <c:ptCount val="10"/>
                <c:pt idx="0">
                  <c:v>22610.49491097089</c:v>
                </c:pt>
                <c:pt idx="1">
                  <c:v>25078.761399893556</c:v>
                </c:pt>
                <c:pt idx="2">
                  <c:v>26708.310166984938</c:v>
                </c:pt>
                <c:pt idx="3">
                  <c:v>27015.499627043584</c:v>
                </c:pt>
                <c:pt idx="4">
                  <c:v>25975.339980175617</c:v>
                </c:pt>
                <c:pt idx="5">
                  <c:v>26156.937299408415</c:v>
                </c:pt>
                <c:pt idx="6">
                  <c:v>26338.664264853298</c:v>
                </c:pt>
                <c:pt idx="7">
                  <c:v>26520.500206299643</c:v>
                </c:pt>
                <c:pt idx="8">
                  <c:v>26702.424147083308</c:v>
                </c:pt>
                <c:pt idx="9">
                  <c:v>26884.414804548302</c:v>
                </c:pt>
              </c:numCache>
            </c:numRef>
          </c:val>
          <c:extLst>
            <c:ext xmlns:c16="http://schemas.microsoft.com/office/drawing/2014/chart" uri="{C3380CC4-5D6E-409C-BE32-E72D297353CC}">
              <c16:uniqueId val="{00000000-8DF8-4B03-8883-6D332AA56822}"/>
            </c:ext>
          </c:extLst>
        </c:ser>
        <c:dLbls>
          <c:showLegendKey val="0"/>
          <c:showVal val="0"/>
          <c:showCatName val="0"/>
          <c:showSerName val="0"/>
          <c:showPercent val="0"/>
          <c:showBubbleSize val="0"/>
        </c:dLbls>
        <c:gapWidth val="100"/>
        <c:overlap val="-24"/>
        <c:axId val="1039572839"/>
        <c:axId val="1039574279"/>
      </c:barChart>
      <c:catAx>
        <c:axId val="1039572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4279"/>
        <c:crosses val="autoZero"/>
        <c:auto val="1"/>
        <c:lblAlgn val="ctr"/>
        <c:lblOffset val="100"/>
        <c:noMultiLvlLbl val="0"/>
      </c:catAx>
      <c:valAx>
        <c:axId val="1039574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2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[1]FCFE!$V$33</c:f>
              <c:strCache>
                <c:ptCount val="1"/>
                <c:pt idx="0">
                  <c:v>Sua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[1]FCFE!$W$32:$AB$32</c:f>
              <c:strCache>
                <c:ptCount val="6"/>
                <c:pt idx="0">
                  <c:v>2018</c:v>
                </c:pt>
                <c:pt idx="1">
                  <c:v>2019</c:v>
                </c:pt>
                <c:pt idx="2">
                  <c:v>2020</c:v>
                </c:pt>
                <c:pt idx="3">
                  <c:v>2021</c:v>
                </c:pt>
                <c:pt idx="4">
                  <c:v>2022</c:v>
                </c:pt>
                <c:pt idx="5">
                  <c:v>2023F</c:v>
                </c:pt>
              </c:strCache>
            </c:strRef>
          </c:cat>
          <c:val>
            <c:numRef>
              <c:f>[1]FCFE!$W$33:$AB$33</c:f>
              <c:numCache>
                <c:formatCode>General</c:formatCode>
                <c:ptCount val="6"/>
                <c:pt idx="0">
                  <c:v>31</c:v>
                </c:pt>
                <c:pt idx="1">
                  <c:v>32</c:v>
                </c:pt>
                <c:pt idx="2">
                  <c:v>34</c:v>
                </c:pt>
                <c:pt idx="3">
                  <c:v>37</c:v>
                </c:pt>
                <c:pt idx="4">
                  <c:v>39</c:v>
                </c:pt>
                <c:pt idx="5">
                  <c:v>42</c:v>
                </c:pt>
              </c:numCache>
            </c:numRef>
          </c:val>
          <c:extLst>
            <c:ext xmlns:c16="http://schemas.microsoft.com/office/drawing/2014/chart" uri="{C3380CC4-5D6E-409C-BE32-E72D297353CC}">
              <c16:uniqueId val="{00000000-D873-4E96-86EC-EB4B197173A2}"/>
            </c:ext>
          </c:extLst>
        </c:ser>
        <c:dLbls>
          <c:showLegendKey val="0"/>
          <c:showVal val="0"/>
          <c:showCatName val="0"/>
          <c:showSerName val="0"/>
          <c:showPercent val="0"/>
          <c:showBubbleSize val="0"/>
        </c:dLbls>
        <c:gapWidth val="100"/>
        <c:overlap val="-24"/>
        <c:axId val="247222167"/>
        <c:axId val="247211727"/>
      </c:barChart>
      <c:catAx>
        <c:axId val="247222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11727"/>
        <c:crosses val="autoZero"/>
        <c:auto val="1"/>
        <c:lblAlgn val="ctr"/>
        <c:lblOffset val="100"/>
        <c:noMultiLvlLbl val="0"/>
      </c:catAx>
      <c:valAx>
        <c:axId val="247211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47222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t>Actual and Predicted EUR/VND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'[3]IFE MODEL'!$C$87</c:f>
              <c:strCache>
                <c:ptCount val="1"/>
                <c:pt idx="0">
                  <c:v>Actual</c:v>
                </c:pt>
              </c:strCache>
            </c:strRef>
          </c:tx>
          <c:spPr>
            <a:ln w="28575" cap="rnd">
              <a:solidFill>
                <a:schemeClr val="accent1"/>
              </a:solidFill>
              <a:round/>
            </a:ln>
            <a:effectLst/>
          </c:spPr>
          <c:marker>
            <c:symbol val="none"/>
          </c:marker>
          <c:cat>
            <c:strRef>
              <c:f>'[3]IFE MODEL'!$B$88:$B$153</c:f>
              <c:strCache>
                <c:ptCount val="66"/>
                <c:pt idx="0">
                  <c:v>Q1/2007</c:v>
                </c:pt>
                <c:pt idx="1">
                  <c:v>Q2/2007</c:v>
                </c:pt>
                <c:pt idx="2">
                  <c:v>Q3/2007</c:v>
                </c:pt>
                <c:pt idx="3">
                  <c:v>Q4/2007</c:v>
                </c:pt>
                <c:pt idx="4">
                  <c:v>Q1/2008</c:v>
                </c:pt>
                <c:pt idx="5">
                  <c:v>Q2/2008</c:v>
                </c:pt>
                <c:pt idx="6">
                  <c:v>Q3/2008</c:v>
                </c:pt>
                <c:pt idx="7">
                  <c:v>Q4/2008</c:v>
                </c:pt>
                <c:pt idx="8">
                  <c:v>Q1/2009</c:v>
                </c:pt>
                <c:pt idx="9">
                  <c:v>Q2/2009</c:v>
                </c:pt>
                <c:pt idx="10">
                  <c:v>Q3/2009</c:v>
                </c:pt>
                <c:pt idx="11">
                  <c:v>Q4/2009</c:v>
                </c:pt>
                <c:pt idx="12">
                  <c:v>Q1/2010</c:v>
                </c:pt>
                <c:pt idx="13">
                  <c:v>Q2/2010</c:v>
                </c:pt>
                <c:pt idx="14">
                  <c:v>Q3/2010</c:v>
                </c:pt>
                <c:pt idx="15">
                  <c:v>Q4/2010</c:v>
                </c:pt>
                <c:pt idx="16">
                  <c:v>Q1/2011</c:v>
                </c:pt>
                <c:pt idx="17">
                  <c:v>Q2/2011</c:v>
                </c:pt>
                <c:pt idx="18">
                  <c:v>Q3/2011</c:v>
                </c:pt>
                <c:pt idx="19">
                  <c:v>Q4/2011</c:v>
                </c:pt>
                <c:pt idx="20">
                  <c:v>Q1/2012</c:v>
                </c:pt>
                <c:pt idx="21">
                  <c:v>Q2/2012</c:v>
                </c:pt>
                <c:pt idx="22">
                  <c:v>Q3/2012</c:v>
                </c:pt>
                <c:pt idx="23">
                  <c:v>Q4/2012</c:v>
                </c:pt>
                <c:pt idx="24">
                  <c:v>Q1/2013</c:v>
                </c:pt>
                <c:pt idx="25">
                  <c:v>Q2/2013</c:v>
                </c:pt>
                <c:pt idx="26">
                  <c:v>Q3/2013</c:v>
                </c:pt>
                <c:pt idx="27">
                  <c:v>Q4/2013</c:v>
                </c:pt>
                <c:pt idx="28">
                  <c:v>Q1/2014</c:v>
                </c:pt>
                <c:pt idx="29">
                  <c:v>Q2/2014</c:v>
                </c:pt>
                <c:pt idx="30">
                  <c:v>Q3/2014</c:v>
                </c:pt>
                <c:pt idx="31">
                  <c:v>Q4/2014</c:v>
                </c:pt>
                <c:pt idx="32">
                  <c:v>Q1/2015</c:v>
                </c:pt>
                <c:pt idx="33">
                  <c:v>Q2/2015</c:v>
                </c:pt>
                <c:pt idx="34">
                  <c:v>Q3/2015</c:v>
                </c:pt>
                <c:pt idx="35">
                  <c:v>Q4/2015</c:v>
                </c:pt>
                <c:pt idx="36">
                  <c:v>Q1/2016</c:v>
                </c:pt>
                <c:pt idx="37">
                  <c:v>Q2/2016</c:v>
                </c:pt>
                <c:pt idx="38">
                  <c:v>Q3/2016</c:v>
                </c:pt>
                <c:pt idx="39">
                  <c:v>Q4/2016</c:v>
                </c:pt>
                <c:pt idx="40">
                  <c:v>Q1/2017</c:v>
                </c:pt>
                <c:pt idx="41">
                  <c:v>Q2/2017</c:v>
                </c:pt>
                <c:pt idx="42">
                  <c:v>Q3/2017</c:v>
                </c:pt>
                <c:pt idx="43">
                  <c:v>Q4/2017</c:v>
                </c:pt>
                <c:pt idx="44">
                  <c:v>Q1/2018</c:v>
                </c:pt>
                <c:pt idx="45">
                  <c:v>Q2/2018</c:v>
                </c:pt>
                <c:pt idx="46">
                  <c:v>Q3/2018</c:v>
                </c:pt>
                <c:pt idx="47">
                  <c:v>Q4/2018</c:v>
                </c:pt>
                <c:pt idx="48">
                  <c:v>Q1/2019</c:v>
                </c:pt>
                <c:pt idx="49">
                  <c:v>Q2/2019</c:v>
                </c:pt>
                <c:pt idx="50">
                  <c:v>Q3/2019</c:v>
                </c:pt>
                <c:pt idx="51">
                  <c:v>Q4/2019</c:v>
                </c:pt>
                <c:pt idx="52">
                  <c:v>Q1/2020</c:v>
                </c:pt>
                <c:pt idx="53">
                  <c:v>Q2/2020</c:v>
                </c:pt>
                <c:pt idx="54">
                  <c:v>Q3/2020</c:v>
                </c:pt>
                <c:pt idx="55">
                  <c:v>Q4/2020</c:v>
                </c:pt>
                <c:pt idx="56">
                  <c:v>Q1/2021</c:v>
                </c:pt>
                <c:pt idx="57">
                  <c:v>Q2/2021</c:v>
                </c:pt>
                <c:pt idx="58">
                  <c:v>Q3/2021</c:v>
                </c:pt>
                <c:pt idx="59">
                  <c:v>Q4/2021</c:v>
                </c:pt>
                <c:pt idx="60">
                  <c:v>Q1/2022</c:v>
                </c:pt>
                <c:pt idx="61">
                  <c:v>Q2/2022</c:v>
                </c:pt>
                <c:pt idx="62">
                  <c:v>Q3/2022</c:v>
                </c:pt>
                <c:pt idx="63">
                  <c:v>Q4/2022</c:v>
                </c:pt>
                <c:pt idx="64">
                  <c:v>Q1/2023</c:v>
                </c:pt>
                <c:pt idx="65">
                  <c:v>Q2/2023</c:v>
                </c:pt>
              </c:strCache>
            </c:strRef>
          </c:cat>
          <c:val>
            <c:numRef>
              <c:f>'[3]IFE MODEL'!$C$88:$C$153</c:f>
              <c:numCache>
                <c:formatCode>General</c:formatCode>
                <c:ptCount val="66"/>
                <c:pt idx="0">
                  <c:v>21843.8</c:v>
                </c:pt>
                <c:pt idx="1">
                  <c:v>22949.4</c:v>
                </c:pt>
                <c:pt idx="2">
                  <c:v>23380</c:v>
                </c:pt>
                <c:pt idx="3">
                  <c:v>25412.7</c:v>
                </c:pt>
                <c:pt idx="4">
                  <c:v>26534.6</c:v>
                </c:pt>
                <c:pt idx="5">
                  <c:v>23429.200000000001</c:v>
                </c:pt>
                <c:pt idx="6">
                  <c:v>24441.200000000001</c:v>
                </c:pt>
                <c:pt idx="7">
                  <c:v>23564.7</c:v>
                </c:pt>
                <c:pt idx="8">
                  <c:v>24946.2</c:v>
                </c:pt>
                <c:pt idx="9">
                  <c:v>26113.1</c:v>
                </c:pt>
                <c:pt idx="10">
                  <c:v>26452.9</c:v>
                </c:pt>
                <c:pt idx="11">
                  <c:v>25793.5</c:v>
                </c:pt>
                <c:pt idx="12">
                  <c:v>23347.200000000001</c:v>
                </c:pt>
                <c:pt idx="13">
                  <c:v>26550.3</c:v>
                </c:pt>
                <c:pt idx="14">
                  <c:v>26076.5</c:v>
                </c:pt>
                <c:pt idx="15">
                  <c:v>29574.400000000001</c:v>
                </c:pt>
                <c:pt idx="16">
                  <c:v>29747.7</c:v>
                </c:pt>
                <c:pt idx="17">
                  <c:v>27872.2</c:v>
                </c:pt>
                <c:pt idx="18">
                  <c:v>27216.2</c:v>
                </c:pt>
                <c:pt idx="19">
                  <c:v>27780.1</c:v>
                </c:pt>
                <c:pt idx="20">
                  <c:v>26429.9</c:v>
                </c:pt>
                <c:pt idx="21">
                  <c:v>26832.7</c:v>
                </c:pt>
                <c:pt idx="22">
                  <c:v>27472</c:v>
                </c:pt>
                <c:pt idx="23">
                  <c:v>26821.7</c:v>
                </c:pt>
                <c:pt idx="24">
                  <c:v>27537.9</c:v>
                </c:pt>
                <c:pt idx="25">
                  <c:v>28554</c:v>
                </c:pt>
                <c:pt idx="26">
                  <c:v>28967.599999999999</c:v>
                </c:pt>
                <c:pt idx="27">
                  <c:v>29020.3</c:v>
                </c:pt>
                <c:pt idx="28">
                  <c:v>29161.8</c:v>
                </c:pt>
                <c:pt idx="29">
                  <c:v>26746.1</c:v>
                </c:pt>
                <c:pt idx="30">
                  <c:v>25851.3</c:v>
                </c:pt>
                <c:pt idx="31">
                  <c:v>23091</c:v>
                </c:pt>
                <c:pt idx="32">
                  <c:v>24263.200000000001</c:v>
                </c:pt>
                <c:pt idx="33">
                  <c:v>25118.1</c:v>
                </c:pt>
                <c:pt idx="34">
                  <c:v>24413.3</c:v>
                </c:pt>
                <c:pt idx="35">
                  <c:v>25357</c:v>
                </c:pt>
                <c:pt idx="36">
                  <c:v>24765.3</c:v>
                </c:pt>
                <c:pt idx="37">
                  <c:v>25064.1</c:v>
                </c:pt>
                <c:pt idx="38">
                  <c:v>23938.1</c:v>
                </c:pt>
                <c:pt idx="39">
                  <c:v>24231</c:v>
                </c:pt>
                <c:pt idx="40">
                  <c:v>25964.5</c:v>
                </c:pt>
                <c:pt idx="41">
                  <c:v>26842.799999999999</c:v>
                </c:pt>
                <c:pt idx="42">
                  <c:v>27240.5</c:v>
                </c:pt>
                <c:pt idx="43">
                  <c:v>28083.3</c:v>
                </c:pt>
                <c:pt idx="44">
                  <c:v>26819.5</c:v>
                </c:pt>
                <c:pt idx="45">
                  <c:v>27075.7</c:v>
                </c:pt>
                <c:pt idx="46">
                  <c:v>26596.6</c:v>
                </c:pt>
                <c:pt idx="47">
                  <c:v>26026.799999999999</c:v>
                </c:pt>
                <c:pt idx="48">
                  <c:v>26487.4</c:v>
                </c:pt>
                <c:pt idx="49">
                  <c:v>25283.4</c:v>
                </c:pt>
                <c:pt idx="50">
                  <c:v>25974.7</c:v>
                </c:pt>
                <c:pt idx="51">
                  <c:v>26046.1</c:v>
                </c:pt>
                <c:pt idx="52">
                  <c:v>26060.400000000001</c:v>
                </c:pt>
                <c:pt idx="53">
                  <c:v>27163.5</c:v>
                </c:pt>
                <c:pt idx="54">
                  <c:v>28175.4</c:v>
                </c:pt>
                <c:pt idx="55">
                  <c:v>27061.200000000001</c:v>
                </c:pt>
                <c:pt idx="56">
                  <c:v>27283.1</c:v>
                </c:pt>
                <c:pt idx="57">
                  <c:v>26346.799999999999</c:v>
                </c:pt>
                <c:pt idx="58">
                  <c:v>25947.5</c:v>
                </c:pt>
                <c:pt idx="59">
                  <c:v>25270.3</c:v>
                </c:pt>
                <c:pt idx="60">
                  <c:v>24375.9</c:v>
                </c:pt>
                <c:pt idx="61">
                  <c:v>23375.5</c:v>
                </c:pt>
                <c:pt idx="62">
                  <c:v>25267.4</c:v>
                </c:pt>
                <c:pt idx="63">
                  <c:v>25417.5</c:v>
                </c:pt>
                <c:pt idx="64">
                  <c:v>25720.3</c:v>
                </c:pt>
                <c:pt idx="65">
                  <c:v>25664</c:v>
                </c:pt>
              </c:numCache>
            </c:numRef>
          </c:val>
          <c:smooth val="0"/>
          <c:extLst>
            <c:ext xmlns:c16="http://schemas.microsoft.com/office/drawing/2014/chart" uri="{C3380CC4-5D6E-409C-BE32-E72D297353CC}">
              <c16:uniqueId val="{00000000-6CB6-4F67-9F66-249DA3973FBB}"/>
            </c:ext>
          </c:extLst>
        </c:ser>
        <c:ser>
          <c:idx val="1"/>
          <c:order val="1"/>
          <c:tx>
            <c:strRef>
              <c:f>'[3]IFE MODEL'!$D$87</c:f>
              <c:strCache>
                <c:ptCount val="1"/>
                <c:pt idx="0">
                  <c:v>Predicted</c:v>
                </c:pt>
              </c:strCache>
            </c:strRef>
          </c:tx>
          <c:spPr>
            <a:ln w="28575" cap="rnd">
              <a:solidFill>
                <a:schemeClr val="accent2"/>
              </a:solidFill>
              <a:round/>
            </a:ln>
            <a:effectLst/>
          </c:spPr>
          <c:marker>
            <c:symbol val="none"/>
          </c:marker>
          <c:cat>
            <c:strRef>
              <c:f>'[3]IFE MODEL'!$B$88:$B$153</c:f>
              <c:strCache>
                <c:ptCount val="66"/>
                <c:pt idx="0">
                  <c:v>Q1/2007</c:v>
                </c:pt>
                <c:pt idx="1">
                  <c:v>Q2/2007</c:v>
                </c:pt>
                <c:pt idx="2">
                  <c:v>Q3/2007</c:v>
                </c:pt>
                <c:pt idx="3">
                  <c:v>Q4/2007</c:v>
                </c:pt>
                <c:pt idx="4">
                  <c:v>Q1/2008</c:v>
                </c:pt>
                <c:pt idx="5">
                  <c:v>Q2/2008</c:v>
                </c:pt>
                <c:pt idx="6">
                  <c:v>Q3/2008</c:v>
                </c:pt>
                <c:pt idx="7">
                  <c:v>Q4/2008</c:v>
                </c:pt>
                <c:pt idx="8">
                  <c:v>Q1/2009</c:v>
                </c:pt>
                <c:pt idx="9">
                  <c:v>Q2/2009</c:v>
                </c:pt>
                <c:pt idx="10">
                  <c:v>Q3/2009</c:v>
                </c:pt>
                <c:pt idx="11">
                  <c:v>Q4/2009</c:v>
                </c:pt>
                <c:pt idx="12">
                  <c:v>Q1/2010</c:v>
                </c:pt>
                <c:pt idx="13">
                  <c:v>Q2/2010</c:v>
                </c:pt>
                <c:pt idx="14">
                  <c:v>Q3/2010</c:v>
                </c:pt>
                <c:pt idx="15">
                  <c:v>Q4/2010</c:v>
                </c:pt>
                <c:pt idx="16">
                  <c:v>Q1/2011</c:v>
                </c:pt>
                <c:pt idx="17">
                  <c:v>Q2/2011</c:v>
                </c:pt>
                <c:pt idx="18">
                  <c:v>Q3/2011</c:v>
                </c:pt>
                <c:pt idx="19">
                  <c:v>Q4/2011</c:v>
                </c:pt>
                <c:pt idx="20">
                  <c:v>Q1/2012</c:v>
                </c:pt>
                <c:pt idx="21">
                  <c:v>Q2/2012</c:v>
                </c:pt>
                <c:pt idx="22">
                  <c:v>Q3/2012</c:v>
                </c:pt>
                <c:pt idx="23">
                  <c:v>Q4/2012</c:v>
                </c:pt>
                <c:pt idx="24">
                  <c:v>Q1/2013</c:v>
                </c:pt>
                <c:pt idx="25">
                  <c:v>Q2/2013</c:v>
                </c:pt>
                <c:pt idx="26">
                  <c:v>Q3/2013</c:v>
                </c:pt>
                <c:pt idx="27">
                  <c:v>Q4/2013</c:v>
                </c:pt>
                <c:pt idx="28">
                  <c:v>Q1/2014</c:v>
                </c:pt>
                <c:pt idx="29">
                  <c:v>Q2/2014</c:v>
                </c:pt>
                <c:pt idx="30">
                  <c:v>Q3/2014</c:v>
                </c:pt>
                <c:pt idx="31">
                  <c:v>Q4/2014</c:v>
                </c:pt>
                <c:pt idx="32">
                  <c:v>Q1/2015</c:v>
                </c:pt>
                <c:pt idx="33">
                  <c:v>Q2/2015</c:v>
                </c:pt>
                <c:pt idx="34">
                  <c:v>Q3/2015</c:v>
                </c:pt>
                <c:pt idx="35">
                  <c:v>Q4/2015</c:v>
                </c:pt>
                <c:pt idx="36">
                  <c:v>Q1/2016</c:v>
                </c:pt>
                <c:pt idx="37">
                  <c:v>Q2/2016</c:v>
                </c:pt>
                <c:pt idx="38">
                  <c:v>Q3/2016</c:v>
                </c:pt>
                <c:pt idx="39">
                  <c:v>Q4/2016</c:v>
                </c:pt>
                <c:pt idx="40">
                  <c:v>Q1/2017</c:v>
                </c:pt>
                <c:pt idx="41">
                  <c:v>Q2/2017</c:v>
                </c:pt>
                <c:pt idx="42">
                  <c:v>Q3/2017</c:v>
                </c:pt>
                <c:pt idx="43">
                  <c:v>Q4/2017</c:v>
                </c:pt>
                <c:pt idx="44">
                  <c:v>Q1/2018</c:v>
                </c:pt>
                <c:pt idx="45">
                  <c:v>Q2/2018</c:v>
                </c:pt>
                <c:pt idx="46">
                  <c:v>Q3/2018</c:v>
                </c:pt>
                <c:pt idx="47">
                  <c:v>Q4/2018</c:v>
                </c:pt>
                <c:pt idx="48">
                  <c:v>Q1/2019</c:v>
                </c:pt>
                <c:pt idx="49">
                  <c:v>Q2/2019</c:v>
                </c:pt>
                <c:pt idx="50">
                  <c:v>Q3/2019</c:v>
                </c:pt>
                <c:pt idx="51">
                  <c:v>Q4/2019</c:v>
                </c:pt>
                <c:pt idx="52">
                  <c:v>Q1/2020</c:v>
                </c:pt>
                <c:pt idx="53">
                  <c:v>Q2/2020</c:v>
                </c:pt>
                <c:pt idx="54">
                  <c:v>Q3/2020</c:v>
                </c:pt>
                <c:pt idx="55">
                  <c:v>Q4/2020</c:v>
                </c:pt>
                <c:pt idx="56">
                  <c:v>Q1/2021</c:v>
                </c:pt>
                <c:pt idx="57">
                  <c:v>Q2/2021</c:v>
                </c:pt>
                <c:pt idx="58">
                  <c:v>Q3/2021</c:v>
                </c:pt>
                <c:pt idx="59">
                  <c:v>Q4/2021</c:v>
                </c:pt>
                <c:pt idx="60">
                  <c:v>Q1/2022</c:v>
                </c:pt>
                <c:pt idx="61">
                  <c:v>Q2/2022</c:v>
                </c:pt>
                <c:pt idx="62">
                  <c:v>Q3/2022</c:v>
                </c:pt>
                <c:pt idx="63">
                  <c:v>Q4/2022</c:v>
                </c:pt>
                <c:pt idx="64">
                  <c:v>Q1/2023</c:v>
                </c:pt>
                <c:pt idx="65">
                  <c:v>Q2/2023</c:v>
                </c:pt>
              </c:strCache>
            </c:strRef>
          </c:cat>
          <c:val>
            <c:numRef>
              <c:f>'[3]IFE MODEL'!$D$88:$D$153</c:f>
              <c:numCache>
                <c:formatCode>General</c:formatCode>
                <c:ptCount val="66"/>
                <c:pt idx="0">
                  <c:v>21473.88092189153</c:v>
                </c:pt>
                <c:pt idx="1">
                  <c:v>21917.170478863143</c:v>
                </c:pt>
                <c:pt idx="2">
                  <c:v>23021.006337098126</c:v>
                </c:pt>
                <c:pt idx="3">
                  <c:v>23428.684442600665</c:v>
                </c:pt>
                <c:pt idx="4">
                  <c:v>25409.942129873194</c:v>
                </c:pt>
                <c:pt idx="5">
                  <c:v>26466.991057237257</c:v>
                </c:pt>
                <c:pt idx="6">
                  <c:v>23355.838727732516</c:v>
                </c:pt>
                <c:pt idx="7">
                  <c:v>24375.313675321344</c:v>
                </c:pt>
                <c:pt idx="8">
                  <c:v>23603.833299668353</c:v>
                </c:pt>
                <c:pt idx="9">
                  <c:v>25053.725464883282</c:v>
                </c:pt>
                <c:pt idx="10">
                  <c:v>26232.936129543144</c:v>
                </c:pt>
                <c:pt idx="11">
                  <c:v>26545.483452552904</c:v>
                </c:pt>
                <c:pt idx="12">
                  <c:v>25862.874755181852</c:v>
                </c:pt>
                <c:pt idx="13">
                  <c:v>23415.693163881409</c:v>
                </c:pt>
                <c:pt idx="14">
                  <c:v>26630.122972588339</c:v>
                </c:pt>
                <c:pt idx="15">
                  <c:v>26130.94981985577</c:v>
                </c:pt>
                <c:pt idx="16">
                  <c:v>29618.991948220508</c:v>
                </c:pt>
                <c:pt idx="17">
                  <c:v>29717.470327772597</c:v>
                </c:pt>
                <c:pt idx="18">
                  <c:v>27831.253594090955</c:v>
                </c:pt>
                <c:pt idx="19">
                  <c:v>27216.346461961657</c:v>
                </c:pt>
                <c:pt idx="20">
                  <c:v>27820.873559083153</c:v>
                </c:pt>
                <c:pt idx="21">
                  <c:v>26534.022361305389</c:v>
                </c:pt>
                <c:pt idx="22">
                  <c:v>26944.560236411657</c:v>
                </c:pt>
                <c:pt idx="23">
                  <c:v>27579.033408768708</c:v>
                </c:pt>
                <c:pt idx="24">
                  <c:v>26922.721891690308</c:v>
                </c:pt>
                <c:pt idx="25">
                  <c:v>27640.049424509773</c:v>
                </c:pt>
                <c:pt idx="26">
                  <c:v>28658.491857784615</c:v>
                </c:pt>
                <c:pt idx="27">
                  <c:v>29073.009573042771</c:v>
                </c:pt>
                <c:pt idx="28">
                  <c:v>29140.314142939329</c:v>
                </c:pt>
                <c:pt idx="29">
                  <c:v>29275.995704045632</c:v>
                </c:pt>
                <c:pt idx="30">
                  <c:v>26862.317298411297</c:v>
                </c:pt>
                <c:pt idx="31">
                  <c:v>25975.870712011965</c:v>
                </c:pt>
                <c:pt idx="32">
                  <c:v>23211.019413131209</c:v>
                </c:pt>
                <c:pt idx="33">
                  <c:v>24394.154098411265</c:v>
                </c:pt>
                <c:pt idx="34">
                  <c:v>25260.21779595187</c:v>
                </c:pt>
                <c:pt idx="35">
                  <c:v>24546.876040346677</c:v>
                </c:pt>
                <c:pt idx="36">
                  <c:v>25482.547222748381</c:v>
                </c:pt>
                <c:pt idx="37">
                  <c:v>24881.340620067273</c:v>
                </c:pt>
                <c:pt idx="38">
                  <c:v>25176.587925836553</c:v>
                </c:pt>
                <c:pt idx="39">
                  <c:v>24039.516398510128</c:v>
                </c:pt>
                <c:pt idx="40">
                  <c:v>24338.16138797954</c:v>
                </c:pt>
                <c:pt idx="41">
                  <c:v>26097.579977588175</c:v>
                </c:pt>
                <c:pt idx="42">
                  <c:v>26974.883857287597</c:v>
                </c:pt>
                <c:pt idx="43">
                  <c:v>27379.516556783481</c:v>
                </c:pt>
                <c:pt idx="44">
                  <c:v>28227.045292461502</c:v>
                </c:pt>
                <c:pt idx="45">
                  <c:v>26942.982431399236</c:v>
                </c:pt>
                <c:pt idx="46">
                  <c:v>27208.224202458903</c:v>
                </c:pt>
                <c:pt idx="47">
                  <c:v>26730.591456106333</c:v>
                </c:pt>
                <c:pt idx="48">
                  <c:v>26159.63499741198</c:v>
                </c:pt>
                <c:pt idx="49">
                  <c:v>26626.876616978385</c:v>
                </c:pt>
                <c:pt idx="50">
                  <c:v>25413.494530838678</c:v>
                </c:pt>
                <c:pt idx="51">
                  <c:v>26082.032338036508</c:v>
                </c:pt>
                <c:pt idx="52">
                  <c:v>26150.890000884399</c:v>
                </c:pt>
                <c:pt idx="53">
                  <c:v>26178.011175241652</c:v>
                </c:pt>
                <c:pt idx="54">
                  <c:v>27281.736229026163</c:v>
                </c:pt>
                <c:pt idx="55">
                  <c:v>28327.532780046316</c:v>
                </c:pt>
                <c:pt idx="56">
                  <c:v>27213.690350687299</c:v>
                </c:pt>
                <c:pt idx="57">
                  <c:v>27430.42295189065</c:v>
                </c:pt>
                <c:pt idx="58">
                  <c:v>26506.674070359099</c:v>
                </c:pt>
                <c:pt idx="59">
                  <c:v>26121.859698814176</c:v>
                </c:pt>
                <c:pt idx="60">
                  <c:v>25455.309159298089</c:v>
                </c:pt>
                <c:pt idx="61">
                  <c:v>24556.706338628581</c:v>
                </c:pt>
                <c:pt idx="62">
                  <c:v>23553.430022903187</c:v>
                </c:pt>
                <c:pt idx="63">
                  <c:v>25448.72143433903</c:v>
                </c:pt>
                <c:pt idx="64">
                  <c:v>25590.986591071323</c:v>
                </c:pt>
                <c:pt idx="65">
                  <c:v>25895.821356751367</c:v>
                </c:pt>
              </c:numCache>
            </c:numRef>
          </c:val>
          <c:smooth val="0"/>
          <c:extLst>
            <c:ext xmlns:c16="http://schemas.microsoft.com/office/drawing/2014/chart" uri="{C3380CC4-5D6E-409C-BE32-E72D297353CC}">
              <c16:uniqueId val="{00000001-6CB6-4F67-9F66-249DA3973FBB}"/>
            </c:ext>
          </c:extLst>
        </c:ser>
        <c:dLbls>
          <c:showLegendKey val="0"/>
          <c:showVal val="0"/>
          <c:showCatName val="0"/>
          <c:showSerName val="0"/>
          <c:showPercent val="0"/>
          <c:showBubbleSize val="0"/>
        </c:dLbls>
        <c:smooth val="0"/>
        <c:axId val="629354552"/>
        <c:axId val="629354912"/>
      </c:lineChart>
      <c:catAx>
        <c:axId val="62935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29354912"/>
        <c:crosses val="autoZero"/>
        <c:auto val="1"/>
        <c:lblAlgn val="ctr"/>
        <c:lblOffset val="100"/>
        <c:noMultiLvlLbl val="0"/>
      </c:catAx>
      <c:valAx>
        <c:axId val="629354912"/>
        <c:scaling>
          <c:orientation val="minMax"/>
          <c:min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29354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b="1"/>
              <a:t>Forecasted </a:t>
            </a:r>
            <a:r>
              <a:rPr lang="en-US" b="1"/>
              <a:t>USD/PHP</a:t>
            </a:r>
            <a:r>
              <a:rPr lang="vi-VN" b="1"/>
              <a:t> in 2025-2031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'USDPHP Forecasting'!$I$2</c:f>
              <c:strCache>
                <c:ptCount val="1"/>
                <c:pt idx="0">
                  <c:v>USD/PHP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'USDPHP Forecasting'!$A$48:$A$55</c:f>
              <c:strCache>
                <c:ptCount val="8"/>
                <c:pt idx="7">
                  <c:v>2031F</c:v>
                </c:pt>
              </c:strCache>
            </c:strRef>
          </c:cat>
          <c:val>
            <c:numRef>
              <c:f>'USDPHP Forecasting'!$B$48:$B$55</c:f>
              <c:numCache>
                <c:formatCode>General</c:formatCode>
                <c:ptCount val="8"/>
                <c:pt idx="7" formatCode="0.00">
                  <c:v>62.190733657742179</c:v>
                </c:pt>
              </c:numCache>
            </c:numRef>
          </c:val>
          <c:smooth val="0"/>
          <c:extLst>
            <c:ext xmlns:c16="http://schemas.microsoft.com/office/drawing/2014/chart" uri="{C3380CC4-5D6E-409C-BE32-E72D297353CC}">
              <c16:uniqueId val="{00000000-FCB9-4E47-B3C5-0A4EBD37B8D9}"/>
            </c:ext>
          </c:extLst>
        </c:ser>
        <c:dLbls>
          <c:showLegendKey val="0"/>
          <c:showVal val="0"/>
          <c:showCatName val="0"/>
          <c:showSerName val="0"/>
          <c:showPercent val="0"/>
          <c:showBubbleSize val="0"/>
        </c:dLbls>
        <c:marker val="1"/>
        <c:smooth val="0"/>
        <c:axId val="958484704"/>
        <c:axId val="995779280"/>
      </c:lineChart>
      <c:catAx>
        <c:axId val="95848470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95779280"/>
        <c:crosses val="autoZero"/>
        <c:auto val="1"/>
        <c:lblAlgn val="ctr"/>
        <c:lblOffset val="100"/>
        <c:noMultiLvlLbl val="0"/>
      </c:catAx>
      <c:valAx>
        <c:axId val="995779280"/>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5848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b="1"/>
              <a:t>Forecasted </a:t>
            </a:r>
            <a:r>
              <a:rPr lang="en-US" b="1"/>
              <a:t>USD/PHP</a:t>
            </a:r>
            <a:r>
              <a:rPr lang="vi-VN" b="1"/>
              <a:t> in 2025-2031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'USDPHP Forecasting'!$I$2</c:f>
              <c:strCache>
                <c:ptCount val="1"/>
                <c:pt idx="0">
                  <c:v>USD/PHP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'USDPHP Forecasting'!$A$48:$A$55</c:f>
              <c:strCache>
                <c:ptCount val="8"/>
                <c:pt idx="7">
                  <c:v>2031F</c:v>
                </c:pt>
              </c:strCache>
            </c:strRef>
          </c:cat>
          <c:val>
            <c:numRef>
              <c:f>'USDPHP Forecasting'!$B$48:$B$55</c:f>
              <c:numCache>
                <c:formatCode>General</c:formatCode>
                <c:ptCount val="8"/>
                <c:pt idx="7" formatCode="0.00">
                  <c:v>62.190733657742179</c:v>
                </c:pt>
              </c:numCache>
            </c:numRef>
          </c:val>
          <c:smooth val="0"/>
          <c:extLst>
            <c:ext xmlns:c16="http://schemas.microsoft.com/office/drawing/2014/chart" uri="{C3380CC4-5D6E-409C-BE32-E72D297353CC}">
              <c16:uniqueId val="{00000000-4F32-402B-A4D1-5E055016EEC1}"/>
            </c:ext>
          </c:extLst>
        </c:ser>
        <c:dLbls>
          <c:showLegendKey val="0"/>
          <c:showVal val="0"/>
          <c:showCatName val="0"/>
          <c:showSerName val="0"/>
          <c:showPercent val="0"/>
          <c:showBubbleSize val="0"/>
        </c:dLbls>
        <c:marker val="1"/>
        <c:smooth val="0"/>
        <c:axId val="958484704"/>
        <c:axId val="995779280"/>
      </c:lineChart>
      <c:catAx>
        <c:axId val="95848470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95779280"/>
        <c:crosses val="autoZero"/>
        <c:auto val="1"/>
        <c:lblAlgn val="ctr"/>
        <c:lblOffset val="100"/>
        <c:noMultiLvlLbl val="0"/>
      </c:catAx>
      <c:valAx>
        <c:axId val="995779280"/>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5848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Forecasted USD/PHP for 2025-2031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'IFE forecasting'!$C$38</c:f>
              <c:strCache>
                <c:ptCount val="1"/>
                <c:pt idx="0">
                  <c:v>USD/PHP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'IFE forecasting'!$B$39:$B$46</c:f>
              <c:strCache>
                <c:ptCount val="8"/>
                <c:pt idx="0">
                  <c:v>2024</c:v>
                </c:pt>
                <c:pt idx="1">
                  <c:v>2025F</c:v>
                </c:pt>
                <c:pt idx="2">
                  <c:v>2026F</c:v>
                </c:pt>
                <c:pt idx="3">
                  <c:v>2027F</c:v>
                </c:pt>
                <c:pt idx="4">
                  <c:v>2028F</c:v>
                </c:pt>
                <c:pt idx="5">
                  <c:v>2029F</c:v>
                </c:pt>
                <c:pt idx="6">
                  <c:v>2030F</c:v>
                </c:pt>
                <c:pt idx="7">
                  <c:v>2031F</c:v>
                </c:pt>
              </c:strCache>
            </c:strRef>
          </c:cat>
          <c:val>
            <c:numRef>
              <c:f>'IFE forecasting'!$C$39:$C$46</c:f>
              <c:numCache>
                <c:formatCode>General</c:formatCode>
                <c:ptCount val="8"/>
                <c:pt idx="0">
                  <c:v>57.149444444444448</c:v>
                </c:pt>
                <c:pt idx="1">
                  <c:v>57.74416973378036</c:v>
                </c:pt>
                <c:pt idx="2">
                  <c:v>58.338234280798289</c:v>
                </c:pt>
                <c:pt idx="3">
                  <c:v>58.976980339460141</c:v>
                </c:pt>
                <c:pt idx="4">
                  <c:v>59.622720036727721</c:v>
                </c:pt>
                <c:pt idx="5">
                  <c:v>60.275529946037814</c:v>
                </c:pt>
                <c:pt idx="6">
                  <c:v>60.93548747923073</c:v>
                </c:pt>
                <c:pt idx="7">
                  <c:v>61.602670895729993</c:v>
                </c:pt>
              </c:numCache>
            </c:numRef>
          </c:val>
          <c:smooth val="0"/>
          <c:extLst>
            <c:ext xmlns:c16="http://schemas.microsoft.com/office/drawing/2014/chart" uri="{C3380CC4-5D6E-409C-BE32-E72D297353CC}">
              <c16:uniqueId val="{00000000-7620-4A1B-867F-22722AA3B4EE}"/>
            </c:ext>
          </c:extLst>
        </c:ser>
        <c:dLbls>
          <c:showLegendKey val="0"/>
          <c:showVal val="0"/>
          <c:showCatName val="0"/>
          <c:showSerName val="0"/>
          <c:showPercent val="0"/>
          <c:showBubbleSize val="0"/>
        </c:dLbls>
        <c:marker val="1"/>
        <c:smooth val="0"/>
        <c:axId val="712101584"/>
        <c:axId val="712104104"/>
      </c:lineChart>
      <c:catAx>
        <c:axId val="71210158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2104104"/>
        <c:crosses val="autoZero"/>
        <c:auto val="1"/>
        <c:lblAlgn val="ctr"/>
        <c:lblOffset val="100"/>
        <c:noMultiLvlLbl val="0"/>
      </c:catAx>
      <c:valAx>
        <c:axId val="712104104"/>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210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Forecasted USD/PHP for 2025-2031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'IFE forecasting'!$C$38</c:f>
              <c:strCache>
                <c:ptCount val="1"/>
                <c:pt idx="0">
                  <c:v>USD/PHP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'IFE forecasting'!$B$39:$B$46</c:f>
              <c:strCache>
                <c:ptCount val="8"/>
                <c:pt idx="0">
                  <c:v>2024</c:v>
                </c:pt>
                <c:pt idx="1">
                  <c:v>2025F</c:v>
                </c:pt>
                <c:pt idx="2">
                  <c:v>2026F</c:v>
                </c:pt>
                <c:pt idx="3">
                  <c:v>2027F</c:v>
                </c:pt>
                <c:pt idx="4">
                  <c:v>2028F</c:v>
                </c:pt>
                <c:pt idx="5">
                  <c:v>2029F</c:v>
                </c:pt>
                <c:pt idx="6">
                  <c:v>2030F</c:v>
                </c:pt>
                <c:pt idx="7">
                  <c:v>2031F</c:v>
                </c:pt>
              </c:strCache>
            </c:strRef>
          </c:cat>
          <c:val>
            <c:numRef>
              <c:f>'IFE forecasting'!$C$39:$C$46</c:f>
              <c:numCache>
                <c:formatCode>General</c:formatCode>
                <c:ptCount val="8"/>
                <c:pt idx="0">
                  <c:v>57.149444444444448</c:v>
                </c:pt>
                <c:pt idx="1">
                  <c:v>57.74416973378036</c:v>
                </c:pt>
                <c:pt idx="2">
                  <c:v>58.338234280798289</c:v>
                </c:pt>
                <c:pt idx="3">
                  <c:v>58.976980339460141</c:v>
                </c:pt>
                <c:pt idx="4">
                  <c:v>59.622720036727721</c:v>
                </c:pt>
                <c:pt idx="5">
                  <c:v>60.275529946037814</c:v>
                </c:pt>
                <c:pt idx="6">
                  <c:v>60.93548747923073</c:v>
                </c:pt>
                <c:pt idx="7">
                  <c:v>61.602670895729993</c:v>
                </c:pt>
              </c:numCache>
            </c:numRef>
          </c:val>
          <c:smooth val="0"/>
          <c:extLst>
            <c:ext xmlns:c16="http://schemas.microsoft.com/office/drawing/2014/chart" uri="{C3380CC4-5D6E-409C-BE32-E72D297353CC}">
              <c16:uniqueId val="{00000000-4B1E-490E-9BBA-2A7E3566A728}"/>
            </c:ext>
          </c:extLst>
        </c:ser>
        <c:dLbls>
          <c:showLegendKey val="0"/>
          <c:showVal val="0"/>
          <c:showCatName val="0"/>
          <c:showSerName val="0"/>
          <c:showPercent val="0"/>
          <c:showBubbleSize val="0"/>
        </c:dLbls>
        <c:marker val="1"/>
        <c:smooth val="0"/>
        <c:axId val="712101584"/>
        <c:axId val="712104104"/>
      </c:lineChart>
      <c:catAx>
        <c:axId val="71210158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2104104"/>
        <c:crosses val="autoZero"/>
        <c:auto val="1"/>
        <c:lblAlgn val="ctr"/>
        <c:lblOffset val="100"/>
        <c:noMultiLvlLbl val="0"/>
      </c:catAx>
      <c:valAx>
        <c:axId val="712104104"/>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210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[1]FCFE!$A$3</c:f>
              <c:strCache>
                <c:ptCount val="1"/>
                <c:pt idx="0">
                  <c:v>Total revenue</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[1]FCFE!$B$2:$K$2</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[1]FCFE!$B$3:$K$3</c:f>
              <c:numCache>
                <c:formatCode>General</c:formatCode>
                <c:ptCount val="10"/>
                <c:pt idx="0">
                  <c:v>52561.95</c:v>
                </c:pt>
                <c:pt idx="1">
                  <c:v>56318.123</c:v>
                </c:pt>
                <c:pt idx="2">
                  <c:v>59636.286</c:v>
                </c:pt>
                <c:pt idx="3">
                  <c:v>60919.165000000001</c:v>
                </c:pt>
                <c:pt idx="4">
                  <c:v>59956.247000000003</c:v>
                </c:pt>
                <c:pt idx="5">
                  <c:v>60528.348398094349</c:v>
                </c:pt>
                <c:pt idx="6">
                  <c:v>61223.42902614129</c:v>
                </c:pt>
                <c:pt idx="7">
                  <c:v>62003.395290794142</c:v>
                </c:pt>
                <c:pt idx="8">
                  <c:v>62869.367433309628</c:v>
                </c:pt>
                <c:pt idx="9">
                  <c:v>63823.005015414266</c:v>
                </c:pt>
              </c:numCache>
            </c:numRef>
          </c:val>
          <c:extLst>
            <c:ext xmlns:c16="http://schemas.microsoft.com/office/drawing/2014/chart" uri="{C3380CC4-5D6E-409C-BE32-E72D297353CC}">
              <c16:uniqueId val="{00000000-FBA0-46F6-80F2-2D92382CAE82}"/>
            </c:ext>
          </c:extLst>
        </c:ser>
        <c:dLbls>
          <c:showLegendKey val="0"/>
          <c:showVal val="0"/>
          <c:showCatName val="0"/>
          <c:showSerName val="0"/>
          <c:showPercent val="0"/>
          <c:showBubbleSize val="0"/>
        </c:dLbls>
        <c:gapWidth val="100"/>
        <c:overlap val="-24"/>
        <c:axId val="759337376"/>
        <c:axId val="464356272"/>
      </c:barChart>
      <c:catAx>
        <c:axId val="759337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4356272"/>
        <c:crosses val="autoZero"/>
        <c:auto val="1"/>
        <c:lblAlgn val="ctr"/>
        <c:lblOffset val="100"/>
        <c:noMultiLvlLbl val="0"/>
      </c:catAx>
      <c:valAx>
        <c:axId val="46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93373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t>Actual and Predicted EUR/VND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'[3]IFE MODEL'!$C$87</c:f>
              <c:strCache>
                <c:ptCount val="1"/>
                <c:pt idx="0">
                  <c:v>Actual</c:v>
                </c:pt>
              </c:strCache>
            </c:strRef>
          </c:tx>
          <c:spPr>
            <a:ln w="28575" cap="rnd">
              <a:solidFill>
                <a:schemeClr val="accent1"/>
              </a:solidFill>
              <a:round/>
            </a:ln>
            <a:effectLst/>
          </c:spPr>
          <c:marker>
            <c:symbol val="none"/>
          </c:marker>
          <c:cat>
            <c:strRef>
              <c:f>'[3]IFE MODEL'!$B$88:$B$153</c:f>
              <c:strCache>
                <c:ptCount val="66"/>
                <c:pt idx="0">
                  <c:v>Q1/2007</c:v>
                </c:pt>
                <c:pt idx="1">
                  <c:v>Q2/2007</c:v>
                </c:pt>
                <c:pt idx="2">
                  <c:v>Q3/2007</c:v>
                </c:pt>
                <c:pt idx="3">
                  <c:v>Q4/2007</c:v>
                </c:pt>
                <c:pt idx="4">
                  <c:v>Q1/2008</c:v>
                </c:pt>
                <c:pt idx="5">
                  <c:v>Q2/2008</c:v>
                </c:pt>
                <c:pt idx="6">
                  <c:v>Q3/2008</c:v>
                </c:pt>
                <c:pt idx="7">
                  <c:v>Q4/2008</c:v>
                </c:pt>
                <c:pt idx="8">
                  <c:v>Q1/2009</c:v>
                </c:pt>
                <c:pt idx="9">
                  <c:v>Q2/2009</c:v>
                </c:pt>
                <c:pt idx="10">
                  <c:v>Q3/2009</c:v>
                </c:pt>
                <c:pt idx="11">
                  <c:v>Q4/2009</c:v>
                </c:pt>
                <c:pt idx="12">
                  <c:v>Q1/2010</c:v>
                </c:pt>
                <c:pt idx="13">
                  <c:v>Q2/2010</c:v>
                </c:pt>
                <c:pt idx="14">
                  <c:v>Q3/2010</c:v>
                </c:pt>
                <c:pt idx="15">
                  <c:v>Q4/2010</c:v>
                </c:pt>
                <c:pt idx="16">
                  <c:v>Q1/2011</c:v>
                </c:pt>
                <c:pt idx="17">
                  <c:v>Q2/2011</c:v>
                </c:pt>
                <c:pt idx="18">
                  <c:v>Q3/2011</c:v>
                </c:pt>
                <c:pt idx="19">
                  <c:v>Q4/2011</c:v>
                </c:pt>
                <c:pt idx="20">
                  <c:v>Q1/2012</c:v>
                </c:pt>
                <c:pt idx="21">
                  <c:v>Q2/2012</c:v>
                </c:pt>
                <c:pt idx="22">
                  <c:v>Q3/2012</c:v>
                </c:pt>
                <c:pt idx="23">
                  <c:v>Q4/2012</c:v>
                </c:pt>
                <c:pt idx="24">
                  <c:v>Q1/2013</c:v>
                </c:pt>
                <c:pt idx="25">
                  <c:v>Q2/2013</c:v>
                </c:pt>
                <c:pt idx="26">
                  <c:v>Q3/2013</c:v>
                </c:pt>
                <c:pt idx="27">
                  <c:v>Q4/2013</c:v>
                </c:pt>
                <c:pt idx="28">
                  <c:v>Q1/2014</c:v>
                </c:pt>
                <c:pt idx="29">
                  <c:v>Q2/2014</c:v>
                </c:pt>
                <c:pt idx="30">
                  <c:v>Q3/2014</c:v>
                </c:pt>
                <c:pt idx="31">
                  <c:v>Q4/2014</c:v>
                </c:pt>
                <c:pt idx="32">
                  <c:v>Q1/2015</c:v>
                </c:pt>
                <c:pt idx="33">
                  <c:v>Q2/2015</c:v>
                </c:pt>
                <c:pt idx="34">
                  <c:v>Q3/2015</c:v>
                </c:pt>
                <c:pt idx="35">
                  <c:v>Q4/2015</c:v>
                </c:pt>
                <c:pt idx="36">
                  <c:v>Q1/2016</c:v>
                </c:pt>
                <c:pt idx="37">
                  <c:v>Q2/2016</c:v>
                </c:pt>
                <c:pt idx="38">
                  <c:v>Q3/2016</c:v>
                </c:pt>
                <c:pt idx="39">
                  <c:v>Q4/2016</c:v>
                </c:pt>
                <c:pt idx="40">
                  <c:v>Q1/2017</c:v>
                </c:pt>
                <c:pt idx="41">
                  <c:v>Q2/2017</c:v>
                </c:pt>
                <c:pt idx="42">
                  <c:v>Q3/2017</c:v>
                </c:pt>
                <c:pt idx="43">
                  <c:v>Q4/2017</c:v>
                </c:pt>
                <c:pt idx="44">
                  <c:v>Q1/2018</c:v>
                </c:pt>
                <c:pt idx="45">
                  <c:v>Q2/2018</c:v>
                </c:pt>
                <c:pt idx="46">
                  <c:v>Q3/2018</c:v>
                </c:pt>
                <c:pt idx="47">
                  <c:v>Q4/2018</c:v>
                </c:pt>
                <c:pt idx="48">
                  <c:v>Q1/2019</c:v>
                </c:pt>
                <c:pt idx="49">
                  <c:v>Q2/2019</c:v>
                </c:pt>
                <c:pt idx="50">
                  <c:v>Q3/2019</c:v>
                </c:pt>
                <c:pt idx="51">
                  <c:v>Q4/2019</c:v>
                </c:pt>
                <c:pt idx="52">
                  <c:v>Q1/2020</c:v>
                </c:pt>
                <c:pt idx="53">
                  <c:v>Q2/2020</c:v>
                </c:pt>
                <c:pt idx="54">
                  <c:v>Q3/2020</c:v>
                </c:pt>
                <c:pt idx="55">
                  <c:v>Q4/2020</c:v>
                </c:pt>
                <c:pt idx="56">
                  <c:v>Q1/2021</c:v>
                </c:pt>
                <c:pt idx="57">
                  <c:v>Q2/2021</c:v>
                </c:pt>
                <c:pt idx="58">
                  <c:v>Q3/2021</c:v>
                </c:pt>
                <c:pt idx="59">
                  <c:v>Q4/2021</c:v>
                </c:pt>
                <c:pt idx="60">
                  <c:v>Q1/2022</c:v>
                </c:pt>
                <c:pt idx="61">
                  <c:v>Q2/2022</c:v>
                </c:pt>
                <c:pt idx="62">
                  <c:v>Q3/2022</c:v>
                </c:pt>
                <c:pt idx="63">
                  <c:v>Q4/2022</c:v>
                </c:pt>
                <c:pt idx="64">
                  <c:v>Q1/2023</c:v>
                </c:pt>
                <c:pt idx="65">
                  <c:v>Q2/2023</c:v>
                </c:pt>
              </c:strCache>
            </c:strRef>
          </c:cat>
          <c:val>
            <c:numRef>
              <c:f>'[3]IFE MODEL'!$C$88:$C$153</c:f>
              <c:numCache>
                <c:formatCode>General</c:formatCode>
                <c:ptCount val="66"/>
                <c:pt idx="0">
                  <c:v>21843.8</c:v>
                </c:pt>
                <c:pt idx="1">
                  <c:v>22949.4</c:v>
                </c:pt>
                <c:pt idx="2">
                  <c:v>23380</c:v>
                </c:pt>
                <c:pt idx="3">
                  <c:v>25412.7</c:v>
                </c:pt>
                <c:pt idx="4">
                  <c:v>26534.6</c:v>
                </c:pt>
                <c:pt idx="5">
                  <c:v>23429.200000000001</c:v>
                </c:pt>
                <c:pt idx="6">
                  <c:v>24441.200000000001</c:v>
                </c:pt>
                <c:pt idx="7">
                  <c:v>23564.7</c:v>
                </c:pt>
                <c:pt idx="8">
                  <c:v>24946.2</c:v>
                </c:pt>
                <c:pt idx="9">
                  <c:v>26113.1</c:v>
                </c:pt>
                <c:pt idx="10">
                  <c:v>26452.9</c:v>
                </c:pt>
                <c:pt idx="11">
                  <c:v>25793.5</c:v>
                </c:pt>
                <c:pt idx="12">
                  <c:v>23347.200000000001</c:v>
                </c:pt>
                <c:pt idx="13">
                  <c:v>26550.3</c:v>
                </c:pt>
                <c:pt idx="14">
                  <c:v>26076.5</c:v>
                </c:pt>
                <c:pt idx="15">
                  <c:v>29574.400000000001</c:v>
                </c:pt>
                <c:pt idx="16">
                  <c:v>29747.7</c:v>
                </c:pt>
                <c:pt idx="17">
                  <c:v>27872.2</c:v>
                </c:pt>
                <c:pt idx="18">
                  <c:v>27216.2</c:v>
                </c:pt>
                <c:pt idx="19">
                  <c:v>27780.1</c:v>
                </c:pt>
                <c:pt idx="20">
                  <c:v>26429.9</c:v>
                </c:pt>
                <c:pt idx="21">
                  <c:v>26832.7</c:v>
                </c:pt>
                <c:pt idx="22">
                  <c:v>27472</c:v>
                </c:pt>
                <c:pt idx="23">
                  <c:v>26821.7</c:v>
                </c:pt>
                <c:pt idx="24">
                  <c:v>27537.9</c:v>
                </c:pt>
                <c:pt idx="25">
                  <c:v>28554</c:v>
                </c:pt>
                <c:pt idx="26">
                  <c:v>28967.599999999999</c:v>
                </c:pt>
                <c:pt idx="27">
                  <c:v>29020.3</c:v>
                </c:pt>
                <c:pt idx="28">
                  <c:v>29161.8</c:v>
                </c:pt>
                <c:pt idx="29">
                  <c:v>26746.1</c:v>
                </c:pt>
                <c:pt idx="30">
                  <c:v>25851.3</c:v>
                </c:pt>
                <c:pt idx="31">
                  <c:v>23091</c:v>
                </c:pt>
                <c:pt idx="32">
                  <c:v>24263.200000000001</c:v>
                </c:pt>
                <c:pt idx="33">
                  <c:v>25118.1</c:v>
                </c:pt>
                <c:pt idx="34">
                  <c:v>24413.3</c:v>
                </c:pt>
                <c:pt idx="35">
                  <c:v>25357</c:v>
                </c:pt>
                <c:pt idx="36">
                  <c:v>24765.3</c:v>
                </c:pt>
                <c:pt idx="37">
                  <c:v>25064.1</c:v>
                </c:pt>
                <c:pt idx="38">
                  <c:v>23938.1</c:v>
                </c:pt>
                <c:pt idx="39">
                  <c:v>24231</c:v>
                </c:pt>
                <c:pt idx="40">
                  <c:v>25964.5</c:v>
                </c:pt>
                <c:pt idx="41">
                  <c:v>26842.799999999999</c:v>
                </c:pt>
                <c:pt idx="42">
                  <c:v>27240.5</c:v>
                </c:pt>
                <c:pt idx="43">
                  <c:v>28083.3</c:v>
                </c:pt>
                <c:pt idx="44">
                  <c:v>26819.5</c:v>
                </c:pt>
                <c:pt idx="45">
                  <c:v>27075.7</c:v>
                </c:pt>
                <c:pt idx="46">
                  <c:v>26596.6</c:v>
                </c:pt>
                <c:pt idx="47">
                  <c:v>26026.799999999999</c:v>
                </c:pt>
                <c:pt idx="48">
                  <c:v>26487.4</c:v>
                </c:pt>
                <c:pt idx="49">
                  <c:v>25283.4</c:v>
                </c:pt>
                <c:pt idx="50">
                  <c:v>25974.7</c:v>
                </c:pt>
                <c:pt idx="51">
                  <c:v>26046.1</c:v>
                </c:pt>
                <c:pt idx="52">
                  <c:v>26060.400000000001</c:v>
                </c:pt>
                <c:pt idx="53">
                  <c:v>27163.5</c:v>
                </c:pt>
                <c:pt idx="54">
                  <c:v>28175.4</c:v>
                </c:pt>
                <c:pt idx="55">
                  <c:v>27061.200000000001</c:v>
                </c:pt>
                <c:pt idx="56">
                  <c:v>27283.1</c:v>
                </c:pt>
                <c:pt idx="57">
                  <c:v>26346.799999999999</c:v>
                </c:pt>
                <c:pt idx="58">
                  <c:v>25947.5</c:v>
                </c:pt>
                <c:pt idx="59">
                  <c:v>25270.3</c:v>
                </c:pt>
                <c:pt idx="60">
                  <c:v>24375.9</c:v>
                </c:pt>
                <c:pt idx="61">
                  <c:v>23375.5</c:v>
                </c:pt>
                <c:pt idx="62">
                  <c:v>25267.4</c:v>
                </c:pt>
                <c:pt idx="63">
                  <c:v>25417.5</c:v>
                </c:pt>
                <c:pt idx="64">
                  <c:v>25720.3</c:v>
                </c:pt>
                <c:pt idx="65">
                  <c:v>25664</c:v>
                </c:pt>
              </c:numCache>
            </c:numRef>
          </c:val>
          <c:smooth val="0"/>
          <c:extLst>
            <c:ext xmlns:c16="http://schemas.microsoft.com/office/drawing/2014/chart" uri="{C3380CC4-5D6E-409C-BE32-E72D297353CC}">
              <c16:uniqueId val="{00000000-1120-46C0-B6CE-27BC0E95DD17}"/>
            </c:ext>
          </c:extLst>
        </c:ser>
        <c:ser>
          <c:idx val="1"/>
          <c:order val="1"/>
          <c:tx>
            <c:strRef>
              <c:f>'[3]IFE MODEL'!$D$87</c:f>
              <c:strCache>
                <c:ptCount val="1"/>
                <c:pt idx="0">
                  <c:v>Predicted</c:v>
                </c:pt>
              </c:strCache>
            </c:strRef>
          </c:tx>
          <c:spPr>
            <a:ln w="28575" cap="rnd">
              <a:solidFill>
                <a:schemeClr val="accent2"/>
              </a:solidFill>
              <a:round/>
            </a:ln>
            <a:effectLst/>
          </c:spPr>
          <c:marker>
            <c:symbol val="none"/>
          </c:marker>
          <c:cat>
            <c:strRef>
              <c:f>'[3]IFE MODEL'!$B$88:$B$153</c:f>
              <c:strCache>
                <c:ptCount val="66"/>
                <c:pt idx="0">
                  <c:v>Q1/2007</c:v>
                </c:pt>
                <c:pt idx="1">
                  <c:v>Q2/2007</c:v>
                </c:pt>
                <c:pt idx="2">
                  <c:v>Q3/2007</c:v>
                </c:pt>
                <c:pt idx="3">
                  <c:v>Q4/2007</c:v>
                </c:pt>
                <c:pt idx="4">
                  <c:v>Q1/2008</c:v>
                </c:pt>
                <c:pt idx="5">
                  <c:v>Q2/2008</c:v>
                </c:pt>
                <c:pt idx="6">
                  <c:v>Q3/2008</c:v>
                </c:pt>
                <c:pt idx="7">
                  <c:v>Q4/2008</c:v>
                </c:pt>
                <c:pt idx="8">
                  <c:v>Q1/2009</c:v>
                </c:pt>
                <c:pt idx="9">
                  <c:v>Q2/2009</c:v>
                </c:pt>
                <c:pt idx="10">
                  <c:v>Q3/2009</c:v>
                </c:pt>
                <c:pt idx="11">
                  <c:v>Q4/2009</c:v>
                </c:pt>
                <c:pt idx="12">
                  <c:v>Q1/2010</c:v>
                </c:pt>
                <c:pt idx="13">
                  <c:v>Q2/2010</c:v>
                </c:pt>
                <c:pt idx="14">
                  <c:v>Q3/2010</c:v>
                </c:pt>
                <c:pt idx="15">
                  <c:v>Q4/2010</c:v>
                </c:pt>
                <c:pt idx="16">
                  <c:v>Q1/2011</c:v>
                </c:pt>
                <c:pt idx="17">
                  <c:v>Q2/2011</c:v>
                </c:pt>
                <c:pt idx="18">
                  <c:v>Q3/2011</c:v>
                </c:pt>
                <c:pt idx="19">
                  <c:v>Q4/2011</c:v>
                </c:pt>
                <c:pt idx="20">
                  <c:v>Q1/2012</c:v>
                </c:pt>
                <c:pt idx="21">
                  <c:v>Q2/2012</c:v>
                </c:pt>
                <c:pt idx="22">
                  <c:v>Q3/2012</c:v>
                </c:pt>
                <c:pt idx="23">
                  <c:v>Q4/2012</c:v>
                </c:pt>
                <c:pt idx="24">
                  <c:v>Q1/2013</c:v>
                </c:pt>
                <c:pt idx="25">
                  <c:v>Q2/2013</c:v>
                </c:pt>
                <c:pt idx="26">
                  <c:v>Q3/2013</c:v>
                </c:pt>
                <c:pt idx="27">
                  <c:v>Q4/2013</c:v>
                </c:pt>
                <c:pt idx="28">
                  <c:v>Q1/2014</c:v>
                </c:pt>
                <c:pt idx="29">
                  <c:v>Q2/2014</c:v>
                </c:pt>
                <c:pt idx="30">
                  <c:v>Q3/2014</c:v>
                </c:pt>
                <c:pt idx="31">
                  <c:v>Q4/2014</c:v>
                </c:pt>
                <c:pt idx="32">
                  <c:v>Q1/2015</c:v>
                </c:pt>
                <c:pt idx="33">
                  <c:v>Q2/2015</c:v>
                </c:pt>
                <c:pt idx="34">
                  <c:v>Q3/2015</c:v>
                </c:pt>
                <c:pt idx="35">
                  <c:v>Q4/2015</c:v>
                </c:pt>
                <c:pt idx="36">
                  <c:v>Q1/2016</c:v>
                </c:pt>
                <c:pt idx="37">
                  <c:v>Q2/2016</c:v>
                </c:pt>
                <c:pt idx="38">
                  <c:v>Q3/2016</c:v>
                </c:pt>
                <c:pt idx="39">
                  <c:v>Q4/2016</c:v>
                </c:pt>
                <c:pt idx="40">
                  <c:v>Q1/2017</c:v>
                </c:pt>
                <c:pt idx="41">
                  <c:v>Q2/2017</c:v>
                </c:pt>
                <c:pt idx="42">
                  <c:v>Q3/2017</c:v>
                </c:pt>
                <c:pt idx="43">
                  <c:v>Q4/2017</c:v>
                </c:pt>
                <c:pt idx="44">
                  <c:v>Q1/2018</c:v>
                </c:pt>
                <c:pt idx="45">
                  <c:v>Q2/2018</c:v>
                </c:pt>
                <c:pt idx="46">
                  <c:v>Q3/2018</c:v>
                </c:pt>
                <c:pt idx="47">
                  <c:v>Q4/2018</c:v>
                </c:pt>
                <c:pt idx="48">
                  <c:v>Q1/2019</c:v>
                </c:pt>
                <c:pt idx="49">
                  <c:v>Q2/2019</c:v>
                </c:pt>
                <c:pt idx="50">
                  <c:v>Q3/2019</c:v>
                </c:pt>
                <c:pt idx="51">
                  <c:v>Q4/2019</c:v>
                </c:pt>
                <c:pt idx="52">
                  <c:v>Q1/2020</c:v>
                </c:pt>
                <c:pt idx="53">
                  <c:v>Q2/2020</c:v>
                </c:pt>
                <c:pt idx="54">
                  <c:v>Q3/2020</c:v>
                </c:pt>
                <c:pt idx="55">
                  <c:v>Q4/2020</c:v>
                </c:pt>
                <c:pt idx="56">
                  <c:v>Q1/2021</c:v>
                </c:pt>
                <c:pt idx="57">
                  <c:v>Q2/2021</c:v>
                </c:pt>
                <c:pt idx="58">
                  <c:v>Q3/2021</c:v>
                </c:pt>
                <c:pt idx="59">
                  <c:v>Q4/2021</c:v>
                </c:pt>
                <c:pt idx="60">
                  <c:v>Q1/2022</c:v>
                </c:pt>
                <c:pt idx="61">
                  <c:v>Q2/2022</c:v>
                </c:pt>
                <c:pt idx="62">
                  <c:v>Q3/2022</c:v>
                </c:pt>
                <c:pt idx="63">
                  <c:v>Q4/2022</c:v>
                </c:pt>
                <c:pt idx="64">
                  <c:v>Q1/2023</c:v>
                </c:pt>
                <c:pt idx="65">
                  <c:v>Q2/2023</c:v>
                </c:pt>
              </c:strCache>
            </c:strRef>
          </c:cat>
          <c:val>
            <c:numRef>
              <c:f>'[3]IFE MODEL'!$D$88:$D$153</c:f>
              <c:numCache>
                <c:formatCode>General</c:formatCode>
                <c:ptCount val="66"/>
                <c:pt idx="0">
                  <c:v>21473.88092189153</c:v>
                </c:pt>
                <c:pt idx="1">
                  <c:v>21917.170478863143</c:v>
                </c:pt>
                <c:pt idx="2">
                  <c:v>23021.006337098126</c:v>
                </c:pt>
                <c:pt idx="3">
                  <c:v>23428.684442600665</c:v>
                </c:pt>
                <c:pt idx="4">
                  <c:v>25409.942129873194</c:v>
                </c:pt>
                <c:pt idx="5">
                  <c:v>26466.991057237257</c:v>
                </c:pt>
                <c:pt idx="6">
                  <c:v>23355.838727732516</c:v>
                </c:pt>
                <c:pt idx="7">
                  <c:v>24375.313675321344</c:v>
                </c:pt>
                <c:pt idx="8">
                  <c:v>23603.833299668353</c:v>
                </c:pt>
                <c:pt idx="9">
                  <c:v>25053.725464883282</c:v>
                </c:pt>
                <c:pt idx="10">
                  <c:v>26232.936129543144</c:v>
                </c:pt>
                <c:pt idx="11">
                  <c:v>26545.483452552904</c:v>
                </c:pt>
                <c:pt idx="12">
                  <c:v>25862.874755181852</c:v>
                </c:pt>
                <c:pt idx="13">
                  <c:v>23415.693163881409</c:v>
                </c:pt>
                <c:pt idx="14">
                  <c:v>26630.122972588339</c:v>
                </c:pt>
                <c:pt idx="15">
                  <c:v>26130.94981985577</c:v>
                </c:pt>
                <c:pt idx="16">
                  <c:v>29618.991948220508</c:v>
                </c:pt>
                <c:pt idx="17">
                  <c:v>29717.470327772597</c:v>
                </c:pt>
                <c:pt idx="18">
                  <c:v>27831.253594090955</c:v>
                </c:pt>
                <c:pt idx="19">
                  <c:v>27216.346461961657</c:v>
                </c:pt>
                <c:pt idx="20">
                  <c:v>27820.873559083153</c:v>
                </c:pt>
                <c:pt idx="21">
                  <c:v>26534.022361305389</c:v>
                </c:pt>
                <c:pt idx="22">
                  <c:v>26944.560236411657</c:v>
                </c:pt>
                <c:pt idx="23">
                  <c:v>27579.033408768708</c:v>
                </c:pt>
                <c:pt idx="24">
                  <c:v>26922.721891690308</c:v>
                </c:pt>
                <c:pt idx="25">
                  <c:v>27640.049424509773</c:v>
                </c:pt>
                <c:pt idx="26">
                  <c:v>28658.491857784615</c:v>
                </c:pt>
                <c:pt idx="27">
                  <c:v>29073.009573042771</c:v>
                </c:pt>
                <c:pt idx="28">
                  <c:v>29140.314142939329</c:v>
                </c:pt>
                <c:pt idx="29">
                  <c:v>29275.995704045632</c:v>
                </c:pt>
                <c:pt idx="30">
                  <c:v>26862.317298411297</c:v>
                </c:pt>
                <c:pt idx="31">
                  <c:v>25975.870712011965</c:v>
                </c:pt>
                <c:pt idx="32">
                  <c:v>23211.019413131209</c:v>
                </c:pt>
                <c:pt idx="33">
                  <c:v>24394.154098411265</c:v>
                </c:pt>
                <c:pt idx="34">
                  <c:v>25260.21779595187</c:v>
                </c:pt>
                <c:pt idx="35">
                  <c:v>24546.876040346677</c:v>
                </c:pt>
                <c:pt idx="36">
                  <c:v>25482.547222748381</c:v>
                </c:pt>
                <c:pt idx="37">
                  <c:v>24881.340620067273</c:v>
                </c:pt>
                <c:pt idx="38">
                  <c:v>25176.587925836553</c:v>
                </c:pt>
                <c:pt idx="39">
                  <c:v>24039.516398510128</c:v>
                </c:pt>
                <c:pt idx="40">
                  <c:v>24338.16138797954</c:v>
                </c:pt>
                <c:pt idx="41">
                  <c:v>26097.579977588175</c:v>
                </c:pt>
                <c:pt idx="42">
                  <c:v>26974.883857287597</c:v>
                </c:pt>
                <c:pt idx="43">
                  <c:v>27379.516556783481</c:v>
                </c:pt>
                <c:pt idx="44">
                  <c:v>28227.045292461502</c:v>
                </c:pt>
                <c:pt idx="45">
                  <c:v>26942.982431399236</c:v>
                </c:pt>
                <c:pt idx="46">
                  <c:v>27208.224202458903</c:v>
                </c:pt>
                <c:pt idx="47">
                  <c:v>26730.591456106333</c:v>
                </c:pt>
                <c:pt idx="48">
                  <c:v>26159.63499741198</c:v>
                </c:pt>
                <c:pt idx="49">
                  <c:v>26626.876616978385</c:v>
                </c:pt>
                <c:pt idx="50">
                  <c:v>25413.494530838678</c:v>
                </c:pt>
                <c:pt idx="51">
                  <c:v>26082.032338036508</c:v>
                </c:pt>
                <c:pt idx="52">
                  <c:v>26150.890000884399</c:v>
                </c:pt>
                <c:pt idx="53">
                  <c:v>26178.011175241652</c:v>
                </c:pt>
                <c:pt idx="54">
                  <c:v>27281.736229026163</c:v>
                </c:pt>
                <c:pt idx="55">
                  <c:v>28327.532780046316</c:v>
                </c:pt>
                <c:pt idx="56">
                  <c:v>27213.690350687299</c:v>
                </c:pt>
                <c:pt idx="57">
                  <c:v>27430.42295189065</c:v>
                </c:pt>
                <c:pt idx="58">
                  <c:v>26506.674070359099</c:v>
                </c:pt>
                <c:pt idx="59">
                  <c:v>26121.859698814176</c:v>
                </c:pt>
                <c:pt idx="60">
                  <c:v>25455.309159298089</c:v>
                </c:pt>
                <c:pt idx="61">
                  <c:v>24556.706338628581</c:v>
                </c:pt>
                <c:pt idx="62">
                  <c:v>23553.430022903187</c:v>
                </c:pt>
                <c:pt idx="63">
                  <c:v>25448.72143433903</c:v>
                </c:pt>
                <c:pt idx="64">
                  <c:v>25590.986591071323</c:v>
                </c:pt>
                <c:pt idx="65">
                  <c:v>25895.821356751367</c:v>
                </c:pt>
              </c:numCache>
            </c:numRef>
          </c:val>
          <c:smooth val="0"/>
          <c:extLst>
            <c:ext xmlns:c16="http://schemas.microsoft.com/office/drawing/2014/chart" uri="{C3380CC4-5D6E-409C-BE32-E72D297353CC}">
              <c16:uniqueId val="{00000001-1120-46C0-B6CE-27BC0E95DD17}"/>
            </c:ext>
          </c:extLst>
        </c:ser>
        <c:dLbls>
          <c:showLegendKey val="0"/>
          <c:showVal val="0"/>
          <c:showCatName val="0"/>
          <c:showSerName val="0"/>
          <c:showPercent val="0"/>
          <c:showBubbleSize val="0"/>
        </c:dLbls>
        <c:smooth val="0"/>
        <c:axId val="629354552"/>
        <c:axId val="629354912"/>
      </c:lineChart>
      <c:catAx>
        <c:axId val="62935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29354912"/>
        <c:crosses val="autoZero"/>
        <c:auto val="1"/>
        <c:lblAlgn val="ctr"/>
        <c:lblOffset val="100"/>
        <c:noMultiLvlLbl val="0"/>
      </c:catAx>
      <c:valAx>
        <c:axId val="629354912"/>
        <c:scaling>
          <c:orientation val="minMax"/>
          <c:min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29354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[1]FCFE!$A$48</c:f>
              <c:strCache>
                <c:ptCount val="1"/>
                <c:pt idx="0">
                  <c:v>COST BREAKDOWN</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[1]FCFE!$B$47:$K$47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[1]FCFE!$B$48:$K$48</c:f>
              <c:numCache>
                <c:formatCode>General</c:formatCode>
                <c:ptCount val="10"/>
                <c:pt idx="0">
                  <c:v>42378.753979909998</c:v>
                </c:pt>
                <c:pt idx="1">
                  <c:v>45758.074290750003</c:v>
                </c:pt>
                <c:pt idx="2">
                  <c:v>34956.943557933002</c:v>
                </c:pt>
                <c:pt idx="3">
                  <c:v>50241.584443779007</c:v>
                </c:pt>
                <c:pt idx="4">
                  <c:v>51354.195901306994</c:v>
                </c:pt>
                <c:pt idx="5">
                  <c:v>49067.986032907793</c:v>
                </c:pt>
                <c:pt idx="6">
                  <c:v>49745.939876931443</c:v>
                </c:pt>
                <c:pt idx="7">
                  <c:v>50665.151857869918</c:v>
                </c:pt>
                <c:pt idx="8">
                  <c:v>51284.803720800359</c:v>
                </c:pt>
                <c:pt idx="9">
                  <c:v>51937.319563267723</c:v>
                </c:pt>
              </c:numCache>
            </c:numRef>
          </c:val>
          <c:extLst>
            <c:ext xmlns:c16="http://schemas.microsoft.com/office/drawing/2014/chart" uri="{C3380CC4-5D6E-409C-BE32-E72D297353CC}">
              <c16:uniqueId val="{00000000-CE68-40ED-857B-7A09824CE1B8}"/>
            </c:ext>
          </c:extLst>
        </c:ser>
        <c:dLbls>
          <c:showLegendKey val="0"/>
          <c:showVal val="0"/>
          <c:showCatName val="0"/>
          <c:showSerName val="0"/>
          <c:showPercent val="0"/>
          <c:showBubbleSize val="0"/>
        </c:dLbls>
        <c:gapWidth val="100"/>
        <c:overlap val="-24"/>
        <c:axId val="1223745711"/>
        <c:axId val="1601731487"/>
      </c:barChart>
      <c:catAx>
        <c:axId val="12237457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01731487"/>
        <c:crosses val="autoZero"/>
        <c:auto val="1"/>
        <c:lblAlgn val="ctr"/>
        <c:lblOffset val="100"/>
        <c:noMultiLvlLbl val="0"/>
      </c:catAx>
      <c:valAx>
        <c:axId val="1601731487"/>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3745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[1]FCFE!$A$89</c:f>
              <c:strCache>
                <c:ptCount val="1"/>
                <c:pt idx="0">
                  <c:v>NET INCOME</c:v>
                </c:pt>
              </c:strCache>
            </c:strRef>
          </c:tx>
          <c:spPr>
            <a:gradFill rotWithShape="1">
              <a:gsLst>
                <a:gs pos="0">
                  <a:schemeClr val="accent6"/>
                </a:gs>
                <a:gs pos="100000">
                  <a:schemeClr val="accent4"/>
                </a:gs>
              </a:gsLst>
              <a:lin ang="5400000" scaled="1"/>
            </a:gradFill>
            <a:ln>
              <a:noFill/>
            </a:ln>
            <a:effectLst>
              <a:outerShdw blurRad="57150" dist="19050" dir="5400000" algn="ctr" rotWithShape="0">
                <a:srgbClr val="000000">
                  <a:alpha val="63000"/>
                </a:srgbClr>
              </a:outerShdw>
            </a:effectLst>
          </c:spPr>
          <c:invertIfNegative val="0"/>
          <c:cat>
            <c:strRef>
              <c:f>[1]FCFE!$B$88:$K$88</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[1]FCFE!$B$89:$K$89</c:f>
              <c:numCache>
                <c:formatCode>General</c:formatCode>
                <c:ptCount val="10"/>
                <c:pt idx="0">
                  <c:v>10183.196020089999</c:v>
                </c:pt>
                <c:pt idx="1">
                  <c:v>10560.048709249997</c:v>
                </c:pt>
                <c:pt idx="2">
                  <c:v>24679.342442066998</c:v>
                </c:pt>
                <c:pt idx="3">
                  <c:v>10677.580556220993</c:v>
                </c:pt>
                <c:pt idx="4">
                  <c:v>8602.0510986930094</c:v>
                </c:pt>
                <c:pt idx="5">
                  <c:v>11460.362365186556</c:v>
                </c:pt>
                <c:pt idx="6">
                  <c:v>11477.489149209847</c:v>
                </c:pt>
                <c:pt idx="7">
                  <c:v>11338.243432924224</c:v>
                </c:pt>
                <c:pt idx="8">
                  <c:v>11584.563712509269</c:v>
                </c:pt>
                <c:pt idx="9">
                  <c:v>11885.685452146543</c:v>
                </c:pt>
              </c:numCache>
            </c:numRef>
          </c:val>
          <c:extLst>
            <c:ext xmlns:c16="http://schemas.microsoft.com/office/drawing/2014/chart" uri="{C3380CC4-5D6E-409C-BE32-E72D297353CC}">
              <c16:uniqueId val="{00000000-5423-47CD-8F01-463C764FA754}"/>
            </c:ext>
          </c:extLst>
        </c:ser>
        <c:dLbls>
          <c:showLegendKey val="0"/>
          <c:showVal val="0"/>
          <c:showCatName val="0"/>
          <c:showSerName val="0"/>
          <c:showPercent val="0"/>
          <c:showBubbleSize val="0"/>
        </c:dLbls>
        <c:gapWidth val="100"/>
        <c:overlap val="-24"/>
        <c:axId val="1539837935"/>
        <c:axId val="464353392"/>
      </c:barChart>
      <c:catAx>
        <c:axId val="15398379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4353392"/>
        <c:crosses val="autoZero"/>
        <c:auto val="1"/>
        <c:lblAlgn val="ctr"/>
        <c:lblOffset val="100"/>
        <c:noMultiLvlLbl val="0"/>
      </c:catAx>
      <c:valAx>
        <c:axId val="464353392"/>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398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343890790989006E-2"/>
          <c:y val="1.9382444579652183E-2"/>
          <c:w val="0.90192599281581209"/>
          <c:h val="0.76422681539807524"/>
        </c:manualLayout>
      </c:layout>
      <c:barChart>
        <c:barDir val="col"/>
        <c:grouping val="stacked"/>
        <c:varyColors val="0"/>
        <c:ser>
          <c:idx val="0"/>
          <c:order val="0"/>
          <c:tx>
            <c:strRef>
              <c:f>'[1]revenue breakdown'!$T$4</c:f>
              <c:strCache>
                <c:ptCount val="1"/>
                <c:pt idx="0">
                  <c:v>Baby Food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breakdown'!$V$4:$Y$4</c:f>
              <c:numCache>
                <c:formatCode>General</c:formatCode>
                <c:ptCount val="4"/>
                <c:pt idx="0">
                  <c:v>6282.73</c:v>
                </c:pt>
                <c:pt idx="1">
                  <c:v>6582.5418999999993</c:v>
                </c:pt>
                <c:pt idx="2">
                  <c:v>6853.1112000000012</c:v>
                </c:pt>
                <c:pt idx="3">
                  <c:v>7271.4431999999997</c:v>
                </c:pt>
              </c:numCache>
            </c:numRef>
          </c:val>
          <c:extLst>
            <c:ext xmlns:c16="http://schemas.microsoft.com/office/drawing/2014/chart" uri="{C3380CC4-5D6E-409C-BE32-E72D297353CC}">
              <c16:uniqueId val="{00000000-68B3-40C0-9056-174C0D75CDD1}"/>
            </c:ext>
          </c:extLst>
        </c:ser>
        <c:ser>
          <c:idx val="1"/>
          <c:order val="1"/>
          <c:tx>
            <c:strRef>
              <c:f>'[1]revenue breakdown'!$T$5</c:f>
              <c:strCache>
                <c:ptCount val="1"/>
                <c:pt idx="0">
                  <c:v>Drinking Milk Products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breakdown'!$V$5:$Y$5</c:f>
              <c:numCache>
                <c:formatCode>General</c:formatCode>
                <c:ptCount val="4"/>
                <c:pt idx="0">
                  <c:v>24016.704000000005</c:v>
                </c:pt>
                <c:pt idx="1">
                  <c:v>26157.1548</c:v>
                </c:pt>
                <c:pt idx="2">
                  <c:v>27401.003399999998</c:v>
                </c:pt>
                <c:pt idx="3">
                  <c:v>27325.682800000002</c:v>
                </c:pt>
              </c:numCache>
            </c:numRef>
          </c:val>
          <c:extLst>
            <c:ext xmlns:c16="http://schemas.microsoft.com/office/drawing/2014/chart" uri="{C3380CC4-5D6E-409C-BE32-E72D297353CC}">
              <c16:uniqueId val="{00000001-68B3-40C0-9056-174C0D75CDD1}"/>
            </c:ext>
          </c:extLst>
        </c:ser>
        <c:ser>
          <c:idx val="2"/>
          <c:order val="2"/>
          <c:tx>
            <c:strRef>
              <c:f>'[1]revenue breakdown'!$T$6</c:f>
              <c:strCache>
                <c:ptCount val="1"/>
                <c:pt idx="0">
                  <c:v>Yoghurt and Sour Milk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breakdown'!$V$6:$Y$6</c:f>
              <c:numCache>
                <c:formatCode>General</c:formatCode>
                <c:ptCount val="4"/>
                <c:pt idx="0">
                  <c:v>11235.972</c:v>
                </c:pt>
                <c:pt idx="1">
                  <c:v>12499.762799999999</c:v>
                </c:pt>
                <c:pt idx="2">
                  <c:v>13519.2</c:v>
                </c:pt>
                <c:pt idx="3">
                  <c:v>14228.146799999999</c:v>
                </c:pt>
              </c:numCache>
            </c:numRef>
          </c:val>
          <c:extLst>
            <c:ext xmlns:c16="http://schemas.microsoft.com/office/drawing/2014/chart" uri="{C3380CC4-5D6E-409C-BE32-E72D297353CC}">
              <c16:uniqueId val="{00000002-68B3-40C0-9056-174C0D75CDD1}"/>
            </c:ext>
          </c:extLst>
        </c:ser>
        <c:ser>
          <c:idx val="3"/>
          <c:order val="3"/>
          <c:tx>
            <c:strRef>
              <c:f>'[1]revenue breakdown'!$T$7</c:f>
              <c:strCache>
                <c:ptCount val="1"/>
                <c:pt idx="0">
                  <c:v>Condensed milk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breakdown'!$V$7:$Y$7</c:f>
              <c:numCache>
                <c:formatCode>General</c:formatCode>
                <c:ptCount val="4"/>
                <c:pt idx="0">
                  <c:v>6533.944199999999</c:v>
                </c:pt>
                <c:pt idx="1">
                  <c:v>7147.5887999999986</c:v>
                </c:pt>
                <c:pt idx="2">
                  <c:v>7398.7779999999993</c:v>
                </c:pt>
                <c:pt idx="3">
                  <c:v>7802.7528000000002</c:v>
                </c:pt>
              </c:numCache>
            </c:numRef>
          </c:val>
          <c:extLst>
            <c:ext xmlns:c16="http://schemas.microsoft.com/office/drawing/2014/chart" uri="{C3380CC4-5D6E-409C-BE32-E72D297353CC}">
              <c16:uniqueId val="{00000003-68B3-40C0-9056-174C0D75CDD1}"/>
            </c:ext>
          </c:extLst>
        </c:ser>
        <c:ser>
          <c:idx val="4"/>
          <c:order val="4"/>
          <c:tx>
            <c:strRef>
              <c:f>'[1]revenue breakdown'!$T$8</c:f>
              <c:strCache>
                <c:ptCount val="1"/>
                <c:pt idx="0">
                  <c:v>Plant-based and other dairy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'[1]revenue breakdown'!$V$3:$Y$3</c:f>
              <c:numCache>
                <c:formatCode>General</c:formatCode>
                <c:ptCount val="4"/>
                <c:pt idx="0">
                  <c:v>2019</c:v>
                </c:pt>
                <c:pt idx="1">
                  <c:v>2020</c:v>
                </c:pt>
                <c:pt idx="2">
                  <c:v>2021</c:v>
                </c:pt>
                <c:pt idx="3">
                  <c:v>2022</c:v>
                </c:pt>
              </c:numCache>
            </c:numRef>
          </c:cat>
          <c:val>
            <c:numRef>
              <c:f>'[1]revenue breakdown'!$V$8:$Y$8</c:f>
              <c:numCache>
                <c:formatCode>General</c:formatCode>
                <c:ptCount val="4"/>
                <c:pt idx="0">
                  <c:v>1549.1143999999997</c:v>
                </c:pt>
                <c:pt idx="1">
                  <c:v>1638.1554000000001</c:v>
                </c:pt>
                <c:pt idx="2">
                  <c:v>1673.2950000000001</c:v>
                </c:pt>
                <c:pt idx="3">
                  <c:v>1714.5980000000002</c:v>
                </c:pt>
              </c:numCache>
            </c:numRef>
          </c:val>
          <c:extLst>
            <c:ext xmlns:c16="http://schemas.microsoft.com/office/drawing/2014/chart" uri="{C3380CC4-5D6E-409C-BE32-E72D297353CC}">
              <c16:uniqueId val="{00000004-68B3-40C0-9056-174C0D75CDD1}"/>
            </c:ext>
          </c:extLst>
        </c:ser>
        <c:dLbls>
          <c:dLblPos val="ctr"/>
          <c:showLegendKey val="0"/>
          <c:showVal val="1"/>
          <c:showCatName val="0"/>
          <c:showSerName val="0"/>
          <c:showPercent val="0"/>
          <c:showBubbleSize val="0"/>
        </c:dLbls>
        <c:gapWidth val="150"/>
        <c:overlap val="100"/>
        <c:axId val="518662800"/>
        <c:axId val="518663880"/>
        <c:extLst>
          <c:ext xmlns:c15="http://schemas.microsoft.com/office/drawing/2012/chart" uri="{02D57815-91ED-43cb-92C2-25804820EDAC}">
            <c15:filteredBarSeries>
              <c15:ser>
                <c:idx val="5"/>
                <c:order val="5"/>
                <c:tx>
                  <c:v>CAGR</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'[1]revenue breakdown'!$V$3:$Y$3</c15:sqref>
                        </c15:formulaRef>
                      </c:ext>
                    </c:extLst>
                    <c:numCache>
                      <c:formatCode>General</c:formatCode>
                      <c:ptCount val="4"/>
                      <c:pt idx="0">
                        <c:v>2019</c:v>
                      </c:pt>
                      <c:pt idx="1">
                        <c:v>2020</c:v>
                      </c:pt>
                      <c:pt idx="2">
                        <c:v>2021</c:v>
                      </c:pt>
                      <c:pt idx="3">
                        <c:v>2022</c:v>
                      </c:pt>
                    </c:numCache>
                  </c:numRef>
                </c:cat>
                <c:val>
                  <c:numRef>
                    <c:extLst>
                      <c:ext uri="{02D57815-91ED-43cb-92C2-25804820EDAC}">
                        <c15:formulaRef>
                          <c15:sqref>'[1]revenue breakdown'!$U$13:$U$14</c15:sqref>
                        </c15:formulaRef>
                      </c:ext>
                    </c:extLst>
                    <c:numCache>
                      <c:formatCode>General</c:formatCode>
                      <c:ptCount val="2"/>
                      <c:pt idx="0">
                        <c:v>3.9189550209582702E-2</c:v>
                      </c:pt>
                      <c:pt idx="1">
                        <c:v>7.8379100419165397E-3</c:v>
                      </c:pt>
                    </c:numCache>
                  </c:numRef>
                </c:val>
                <c:extLst>
                  <c:ext xmlns:c16="http://schemas.microsoft.com/office/drawing/2014/chart" uri="{C3380CC4-5D6E-409C-BE32-E72D297353CC}">
                    <c16:uniqueId val="{00000008-68B3-40C0-9056-174C0D75CDD1}"/>
                  </c:ext>
                </c:extLst>
              </c15:ser>
            </c15:filteredBarSeries>
          </c:ext>
        </c:extLst>
      </c:barChart>
      <c:scatterChart>
        <c:scatterStyle val="lineMarker"/>
        <c:varyColors val="0"/>
        <c:ser>
          <c:idx val="7"/>
          <c:order val="7"/>
          <c:tx>
            <c:strRef>
              <c:f>'[1]revenue breakdown'!$T$13</c:f>
              <c:strCache>
                <c:ptCount val="1"/>
                <c:pt idx="0">
                  <c:v>CAGR</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none"/>
          </c:marker>
          <c:dLbls>
            <c:dLbl>
              <c:idx val="1"/>
              <c:layout>
                <c:manualLayout>
                  <c:x val="-0.38948807637263161"/>
                  <c:y val="1.375758303482909E-2"/>
                </c:manualLayout>
              </c:layout>
              <c:tx>
                <c:rich>
                  <a:bodyPr rot="-360000" spcFirstLastPara="1" vertOverflow="ellipsis"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fld id="{5037C86C-57B9-459E-BFE3-54E6EB7408F2}" type="SERIESNAME">
                      <a:rPr lang="en-US"/>
                      <a:pPr>
                        <a:defRPr/>
                      </a:pPr>
                      <a:t>[SERIES NAME]</a:t>
                    </a:fld>
                    <a:r>
                      <a:rPr lang="en-US" baseline="0"/>
                      <a:t>: 2.17%</a:t>
                    </a:r>
                  </a:p>
                </c:rich>
              </c:tx>
              <c:spPr>
                <a:noFill/>
                <a:ln>
                  <a:noFill/>
                </a:ln>
                <a:effectLst/>
              </c:spPr>
              <c:txPr>
                <a:bodyPr rot="-360000" spcFirstLastPara="1" vertOverflow="ellipsis"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8B3-40C0-9056-174C0D75CDD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'[1]revenue breakdown'!$X$13:$X$14</c:f>
              <c:numCache>
                <c:formatCode>General</c:formatCode>
                <c:ptCount val="2"/>
                <c:pt idx="0">
                  <c:v>1</c:v>
                </c:pt>
                <c:pt idx="1">
                  <c:v>4</c:v>
                </c:pt>
              </c:numCache>
            </c:numRef>
          </c:xVal>
          <c:yVal>
            <c:numRef>
              <c:f>'[1]revenue breakdown'!$Y$13:$Y$14</c:f>
              <c:numCache>
                <c:formatCode>General</c:formatCode>
                <c:ptCount val="2"/>
                <c:pt idx="0">
                  <c:v>52376.53244000001</c:v>
                </c:pt>
                <c:pt idx="1">
                  <c:v>67094.017140000011</c:v>
                </c:pt>
              </c:numCache>
            </c:numRef>
          </c:yVal>
          <c:smooth val="0"/>
          <c:extLst>
            <c:ext xmlns:c16="http://schemas.microsoft.com/office/drawing/2014/chart" uri="{C3380CC4-5D6E-409C-BE32-E72D297353CC}">
              <c16:uniqueId val="{00000006-68B3-40C0-9056-174C0D75CDD1}"/>
            </c:ext>
          </c:extLst>
        </c:ser>
        <c:ser>
          <c:idx val="8"/>
          <c:order val="8"/>
          <c:tx>
            <c:strRef>
              <c:f>'[1]revenue breakdown'!$V$12</c:f>
              <c:strCache>
                <c:ptCount val="1"/>
                <c:pt idx="0">
                  <c:v>CAGR: 5.92%</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xVal>
            <c:numRef>
              <c:f>'[1]revenue breakdown'!$Z$14</c:f>
              <c:numCache>
                <c:formatCode>General</c:formatCode>
                <c:ptCount val="1"/>
                <c:pt idx="0">
                  <c:v>2.5</c:v>
                </c:pt>
              </c:numCache>
            </c:numRef>
          </c:xVal>
          <c:yVal>
            <c:numRef>
              <c:f>'[1]revenue breakdown'!$AA$13</c:f>
              <c:numCache>
                <c:formatCode>General</c:formatCode>
                <c:ptCount val="1"/>
                <c:pt idx="0">
                  <c:v>59735.27479000001</c:v>
                </c:pt>
              </c:numCache>
            </c:numRef>
          </c:yVal>
          <c:smooth val="0"/>
          <c:extLst>
            <c:ext xmlns:c16="http://schemas.microsoft.com/office/drawing/2014/chart" uri="{C3380CC4-5D6E-409C-BE32-E72D297353CC}">
              <c16:uniqueId val="{00000007-68B3-40C0-9056-174C0D75CDD1}"/>
            </c:ext>
          </c:extLst>
        </c:ser>
        <c:dLbls>
          <c:showLegendKey val="0"/>
          <c:showVal val="0"/>
          <c:showCatName val="0"/>
          <c:showSerName val="0"/>
          <c:showPercent val="0"/>
          <c:showBubbleSize val="0"/>
        </c:dLbls>
        <c:axId val="518662800"/>
        <c:axId val="518663880"/>
        <c:extLst>
          <c:ext xmlns:c15="http://schemas.microsoft.com/office/drawing/2012/chart" uri="{02D57815-91ED-43cb-92C2-25804820EDAC}">
            <c15:filteredScatterSeries>
              <c15:ser>
                <c:idx val="6"/>
                <c:order val="6"/>
                <c:tx>
                  <c:strRef>
                    <c:extLst>
                      <c:ext uri="{02D57815-91ED-43cb-92C2-25804820EDAC}">
                        <c15:formulaRef>
                          <c15:sqref>'[1]revenue breakdown'!$T$9</c15:sqref>
                        </c15:formulaRef>
                      </c:ext>
                    </c:extLst>
                    <c:strCache>
                      <c:ptCount val="1"/>
                      <c:pt idx="0">
                        <c:v>Force zero</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extLst>
                      <c:ext uri="{02D57815-91ED-43cb-92C2-25804820EDAC}">
                        <c15:formulaRef>
                          <c15:sqref>'[1]revenue breakdown'!$U$9:$Z$9</c15:sqref>
                        </c15:formulaRef>
                      </c:ext>
                    </c:extLst>
                    <c:numCache>
                      <c:formatCode>General</c:formatCode>
                      <c:ptCount val="6"/>
                      <c:pt idx="0">
                        <c:v>0</c:v>
                      </c:pt>
                    </c:numCache>
                  </c:numRef>
                </c:yVal>
                <c:smooth val="0"/>
                <c:extLst>
                  <c:ext xmlns:c16="http://schemas.microsoft.com/office/drawing/2014/chart" uri="{C3380CC4-5D6E-409C-BE32-E72D297353CC}">
                    <c16:uniqueId val="{00000009-68B3-40C0-9056-174C0D75CDD1}"/>
                  </c:ext>
                </c:extLst>
              </c15:ser>
            </c15:filteredScatterSeries>
          </c:ext>
        </c:extLst>
      </c:scatterChart>
      <c:catAx>
        <c:axId val="518662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18663880"/>
        <c:crosses val="autoZero"/>
        <c:auto val="1"/>
        <c:lblAlgn val="ctr"/>
        <c:lblOffset val="100"/>
        <c:noMultiLvlLbl val="0"/>
      </c:catAx>
      <c:valAx>
        <c:axId val="518663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18662800"/>
        <c:crosses val="autoZero"/>
        <c:crossBetween val="between"/>
      </c:valAx>
      <c:spPr>
        <a:noFill/>
        <a:ln>
          <a:noFill/>
        </a:ln>
        <a:effectLst/>
      </c:spPr>
    </c:plotArea>
    <c:legend>
      <c:legendPos val="r"/>
      <c:legendEntry>
        <c:idx val="5"/>
        <c:delete val="1"/>
      </c:legendEntry>
      <c:legendEntry>
        <c:idx val="6"/>
        <c:delete val="1"/>
      </c:legendEntry>
      <c:layout>
        <c:manualLayout>
          <c:xMode val="edge"/>
          <c:yMode val="edge"/>
          <c:x val="0"/>
          <c:y val="0.87164348606020747"/>
          <c:w val="1"/>
          <c:h val="0.12566815992805269"/>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sz="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052188181513166E-2"/>
          <c:y val="7.407407407407407E-2"/>
          <c:w val="0.8705620823547503"/>
          <c:h val="0.85885024788568098"/>
        </c:manualLayout>
      </c:layout>
      <c:barChart>
        <c:barDir val="col"/>
        <c:grouping val="clustered"/>
        <c:varyColors val="0"/>
        <c:ser>
          <c:idx val="0"/>
          <c:order val="0"/>
          <c:tx>
            <c:strRef>
              <c:f>[1]FCFE!$T$28</c:f>
              <c:strCache>
                <c:ptCount val="1"/>
                <c:pt idx="0">
                  <c:v>Drinking milk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[1]FCFE!$U$27:$AD$27</c:f>
              <c:strCache>
                <c:ptCount val="10"/>
                <c:pt idx="0">
                  <c:v>2018</c:v>
                </c:pt>
                <c:pt idx="1">
                  <c:v>2019</c:v>
                </c:pt>
                <c:pt idx="2">
                  <c:v>2020</c:v>
                </c:pt>
                <c:pt idx="3">
                  <c:v>2021</c:v>
                </c:pt>
                <c:pt idx="4">
                  <c:v>2022</c:v>
                </c:pt>
                <c:pt idx="5">
                  <c:v>2023F</c:v>
                </c:pt>
                <c:pt idx="6">
                  <c:v>2024F</c:v>
                </c:pt>
                <c:pt idx="7">
                  <c:v>2025F</c:v>
                </c:pt>
                <c:pt idx="8">
                  <c:v>2026F</c:v>
                </c:pt>
                <c:pt idx="9">
                  <c:v>2027F</c:v>
                </c:pt>
              </c:strCache>
            </c:strRef>
          </c:cat>
          <c:val>
            <c:numRef>
              <c:f>[1]FCFE!$U$28:$AD$28</c:f>
              <c:numCache>
                <c:formatCode>General</c:formatCode>
                <c:ptCount val="10"/>
                <c:pt idx="0">
                  <c:v>22610.49491097089</c:v>
                </c:pt>
                <c:pt idx="1">
                  <c:v>25078.761399893556</c:v>
                </c:pt>
                <c:pt idx="2">
                  <c:v>26708.310166984938</c:v>
                </c:pt>
                <c:pt idx="3">
                  <c:v>27015.499627043584</c:v>
                </c:pt>
                <c:pt idx="4">
                  <c:v>25975.339980175617</c:v>
                </c:pt>
                <c:pt idx="5">
                  <c:v>26156.937299408415</c:v>
                </c:pt>
                <c:pt idx="6">
                  <c:v>26338.664264853298</c:v>
                </c:pt>
                <c:pt idx="7">
                  <c:v>26520.500206299643</c:v>
                </c:pt>
                <c:pt idx="8">
                  <c:v>26702.424147083308</c:v>
                </c:pt>
                <c:pt idx="9">
                  <c:v>26884.414804548302</c:v>
                </c:pt>
              </c:numCache>
            </c:numRef>
          </c:val>
          <c:extLst>
            <c:ext xmlns:c16="http://schemas.microsoft.com/office/drawing/2014/chart" uri="{C3380CC4-5D6E-409C-BE32-E72D297353CC}">
              <c16:uniqueId val="{00000000-1E55-43A2-8B91-562D25869D61}"/>
            </c:ext>
          </c:extLst>
        </c:ser>
        <c:dLbls>
          <c:showLegendKey val="0"/>
          <c:showVal val="0"/>
          <c:showCatName val="0"/>
          <c:showSerName val="0"/>
          <c:showPercent val="0"/>
          <c:showBubbleSize val="0"/>
        </c:dLbls>
        <c:gapWidth val="100"/>
        <c:overlap val="-24"/>
        <c:axId val="1039572839"/>
        <c:axId val="1039574279"/>
      </c:barChart>
      <c:catAx>
        <c:axId val="1039572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4279"/>
        <c:crosses val="autoZero"/>
        <c:auto val="1"/>
        <c:lblAlgn val="ctr"/>
        <c:lblOffset val="100"/>
        <c:noMultiLvlLbl val="0"/>
      </c:catAx>
      <c:valAx>
        <c:axId val="1039574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1039572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3" Type="http://schemas.openxmlformats.org/officeDocument/2006/relationships/chart" Target="../charts/chart27.xml"/><Relationship Id="rId7" Type="http://schemas.openxmlformats.org/officeDocument/2006/relationships/chart" Target="../charts/chart31.xml"/><Relationship Id="rId12" Type="http://schemas.openxmlformats.org/officeDocument/2006/relationships/chart" Target="../charts/chart36.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5" Type="http://schemas.openxmlformats.org/officeDocument/2006/relationships/chart" Target="../charts/chart2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 Id="rId6" Type="http://schemas.openxmlformats.org/officeDocument/2006/relationships/chart" Target="../charts/chart44.xml"/><Relationship Id="rId5" Type="http://schemas.openxmlformats.org/officeDocument/2006/relationships/chart" Target="../charts/chart43.xml"/><Relationship Id="rId4" Type="http://schemas.openxmlformats.org/officeDocument/2006/relationships/chart" Target="../charts/chart4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ortal.euromonitor.com/" TargetMode="Externa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ortal.euromonitor.com/" TargetMode="External"/></Relationships>
</file>

<file path=xl/drawings/_rels/drawing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29</xdr:col>
      <xdr:colOff>932054</xdr:colOff>
      <xdr:row>13</xdr:row>
      <xdr:rowOff>58134</xdr:rowOff>
    </xdr:from>
    <xdr:to>
      <xdr:col>33</xdr:col>
      <xdr:colOff>2629</xdr:colOff>
      <xdr:row>27</xdr:row>
      <xdr:rowOff>256365</xdr:rowOff>
    </xdr:to>
    <xdr:graphicFrame macro="">
      <xdr:nvGraphicFramePr>
        <xdr:cNvPr id="2" name="Chart 2">
          <a:extLst>
            <a:ext uri="{FF2B5EF4-FFF2-40B4-BE49-F238E27FC236}">
              <a16:creationId xmlns:a16="http://schemas.microsoft.com/office/drawing/2014/main" id="{AE00DFF6-7766-4A44-8509-F56192263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361122</xdr:colOff>
      <xdr:row>39</xdr:row>
      <xdr:rowOff>254000</xdr:rowOff>
    </xdr:from>
    <xdr:to>
      <xdr:col>29</xdr:col>
      <xdr:colOff>3396698</xdr:colOff>
      <xdr:row>45</xdr:row>
      <xdr:rowOff>1082675</xdr:rowOff>
    </xdr:to>
    <xdr:graphicFrame macro="">
      <xdr:nvGraphicFramePr>
        <xdr:cNvPr id="3" name="Chart 3">
          <a:extLst>
            <a:ext uri="{FF2B5EF4-FFF2-40B4-BE49-F238E27FC236}">
              <a16:creationId xmlns:a16="http://schemas.microsoft.com/office/drawing/2014/main" id="{0F114222-450C-4115-9B1B-78DBE660A287}"/>
            </a:ext>
            <a:ext uri="{147F2762-F138-4A5C-976F-8EAC2B608ADB}">
              <a16:predDERef xmlns:a16="http://schemas.microsoft.com/office/drawing/2014/main" pred="{5A346F66-683B-8C5F-379C-15EB56563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960059</xdr:colOff>
      <xdr:row>30</xdr:row>
      <xdr:rowOff>158447</xdr:rowOff>
    </xdr:from>
    <xdr:to>
      <xdr:col>36</xdr:col>
      <xdr:colOff>439964</xdr:colOff>
      <xdr:row>39</xdr:row>
      <xdr:rowOff>44147</xdr:rowOff>
    </xdr:to>
    <xdr:graphicFrame macro="">
      <xdr:nvGraphicFramePr>
        <xdr:cNvPr id="4" name="Chart 3">
          <a:extLst>
            <a:ext uri="{FF2B5EF4-FFF2-40B4-BE49-F238E27FC236}">
              <a16:creationId xmlns:a16="http://schemas.microsoft.com/office/drawing/2014/main" id="{7ACF21E4-823C-4A91-ACBD-347395097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1065893</xdr:colOff>
      <xdr:row>25</xdr:row>
      <xdr:rowOff>206828</xdr:rowOff>
    </xdr:from>
    <xdr:to>
      <xdr:col>39</xdr:col>
      <xdr:colOff>1147536</xdr:colOff>
      <xdr:row>34</xdr:row>
      <xdr:rowOff>92528</xdr:rowOff>
    </xdr:to>
    <xdr:graphicFrame macro="">
      <xdr:nvGraphicFramePr>
        <xdr:cNvPr id="5" name="Chart 4">
          <a:extLst>
            <a:ext uri="{FF2B5EF4-FFF2-40B4-BE49-F238E27FC236}">
              <a16:creationId xmlns:a16="http://schemas.microsoft.com/office/drawing/2014/main" id="{E45A3308-F046-4DA3-A472-EA9EFD099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932054</xdr:colOff>
      <xdr:row>13</xdr:row>
      <xdr:rowOff>58134</xdr:rowOff>
    </xdr:from>
    <xdr:to>
      <xdr:col>33</xdr:col>
      <xdr:colOff>2629</xdr:colOff>
      <xdr:row>27</xdr:row>
      <xdr:rowOff>256365</xdr:rowOff>
    </xdr:to>
    <xdr:graphicFrame macro="">
      <xdr:nvGraphicFramePr>
        <xdr:cNvPr id="6" name="Chart 2">
          <a:extLst>
            <a:ext uri="{FF2B5EF4-FFF2-40B4-BE49-F238E27FC236}">
              <a16:creationId xmlns:a16="http://schemas.microsoft.com/office/drawing/2014/main" id="{053D4277-9C7E-4BFB-8097-B855E239B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361122</xdr:colOff>
      <xdr:row>39</xdr:row>
      <xdr:rowOff>254000</xdr:rowOff>
    </xdr:from>
    <xdr:to>
      <xdr:col>29</xdr:col>
      <xdr:colOff>3396698</xdr:colOff>
      <xdr:row>45</xdr:row>
      <xdr:rowOff>1082675</xdr:rowOff>
    </xdr:to>
    <xdr:graphicFrame macro="">
      <xdr:nvGraphicFramePr>
        <xdr:cNvPr id="7" name="Chart 3">
          <a:extLst>
            <a:ext uri="{FF2B5EF4-FFF2-40B4-BE49-F238E27FC236}">
              <a16:creationId xmlns:a16="http://schemas.microsoft.com/office/drawing/2014/main" id="{FA548DF3-519E-462C-B0E2-72D89486A656}"/>
            </a:ext>
            <a:ext uri="{147F2762-F138-4A5C-976F-8EAC2B608ADB}">
              <a16:predDERef xmlns:a16="http://schemas.microsoft.com/office/drawing/2014/main" pred="{5A346F66-683B-8C5F-379C-15EB56563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999297</xdr:colOff>
      <xdr:row>86</xdr:row>
      <xdr:rowOff>682625</xdr:rowOff>
    </xdr:from>
    <xdr:to>
      <xdr:col>29</xdr:col>
      <xdr:colOff>4034873</xdr:colOff>
      <xdr:row>93</xdr:row>
      <xdr:rowOff>254000</xdr:rowOff>
    </xdr:to>
    <xdr:graphicFrame macro="">
      <xdr:nvGraphicFramePr>
        <xdr:cNvPr id="8" name="Chart 4">
          <a:extLst>
            <a:ext uri="{FF2B5EF4-FFF2-40B4-BE49-F238E27FC236}">
              <a16:creationId xmlns:a16="http://schemas.microsoft.com/office/drawing/2014/main" id="{7C4A7D4C-43D4-47AF-A5AD-BE5BD5378EF1}"/>
            </a:ext>
            <a:ext uri="{147F2762-F138-4A5C-976F-8EAC2B608ADB}">
              <a16:predDERef xmlns:a16="http://schemas.microsoft.com/office/drawing/2014/main" pred="{AC3B835A-494C-DB1E-7A63-2534C5688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1187174</xdr:colOff>
      <xdr:row>437</xdr:row>
      <xdr:rowOff>13805</xdr:rowOff>
    </xdr:from>
    <xdr:to>
      <xdr:col>13</xdr:col>
      <xdr:colOff>788856</xdr:colOff>
      <xdr:row>447</xdr:row>
      <xdr:rowOff>211393</xdr:rowOff>
    </xdr:to>
    <xdr:graphicFrame macro="">
      <xdr:nvGraphicFramePr>
        <xdr:cNvPr id="9" name="Chart 5">
          <a:extLst>
            <a:ext uri="{FF2B5EF4-FFF2-40B4-BE49-F238E27FC236}">
              <a16:creationId xmlns:a16="http://schemas.microsoft.com/office/drawing/2014/main" id="{B7B48B83-C1D3-4248-8F18-6BE33E41D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960059</xdr:colOff>
      <xdr:row>30</xdr:row>
      <xdr:rowOff>158447</xdr:rowOff>
    </xdr:from>
    <xdr:to>
      <xdr:col>36</xdr:col>
      <xdr:colOff>439964</xdr:colOff>
      <xdr:row>39</xdr:row>
      <xdr:rowOff>44147</xdr:rowOff>
    </xdr:to>
    <xdr:graphicFrame macro="">
      <xdr:nvGraphicFramePr>
        <xdr:cNvPr id="10" name="Chart 9">
          <a:extLst>
            <a:ext uri="{FF2B5EF4-FFF2-40B4-BE49-F238E27FC236}">
              <a16:creationId xmlns:a16="http://schemas.microsoft.com/office/drawing/2014/main" id="{78587627-9DD4-40E3-829F-09F66576A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36</xdr:col>
      <xdr:colOff>1065893</xdr:colOff>
      <xdr:row>25</xdr:row>
      <xdr:rowOff>206828</xdr:rowOff>
    </xdr:from>
    <xdr:to>
      <xdr:col>39</xdr:col>
      <xdr:colOff>1147536</xdr:colOff>
      <xdr:row>34</xdr:row>
      <xdr:rowOff>92528</xdr:rowOff>
    </xdr:to>
    <xdr:graphicFrame macro="">
      <xdr:nvGraphicFramePr>
        <xdr:cNvPr id="11" name="Chart 10">
          <a:extLst>
            <a:ext uri="{FF2B5EF4-FFF2-40B4-BE49-F238E27FC236}">
              <a16:creationId xmlns:a16="http://schemas.microsoft.com/office/drawing/2014/main" id="{FA30860A-5A62-4E9C-B937-D8C3ECD22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457200</xdr:colOff>
      <xdr:row>11</xdr:row>
      <xdr:rowOff>138112</xdr:rowOff>
    </xdr:from>
    <xdr:to>
      <xdr:col>14</xdr:col>
      <xdr:colOff>228600</xdr:colOff>
      <xdr:row>26</xdr:row>
      <xdr:rowOff>166687</xdr:rowOff>
    </xdr:to>
    <xdr:graphicFrame macro="">
      <xdr:nvGraphicFramePr>
        <xdr:cNvPr id="2" name="Chart 1">
          <a:extLst>
            <a:ext uri="{FF2B5EF4-FFF2-40B4-BE49-F238E27FC236}">
              <a16:creationId xmlns:a16="http://schemas.microsoft.com/office/drawing/2014/main" id="{7FAEAEF4-CCC2-4865-B397-FEFC8FE76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29</xdr:col>
      <xdr:colOff>932054</xdr:colOff>
      <xdr:row>13</xdr:row>
      <xdr:rowOff>58134</xdr:rowOff>
    </xdr:from>
    <xdr:to>
      <xdr:col>33</xdr:col>
      <xdr:colOff>2629</xdr:colOff>
      <xdr:row>27</xdr:row>
      <xdr:rowOff>256365</xdr:rowOff>
    </xdr:to>
    <xdr:graphicFrame macro="">
      <xdr:nvGraphicFramePr>
        <xdr:cNvPr id="2" name="Chart 2">
          <a:extLst>
            <a:ext uri="{FF2B5EF4-FFF2-40B4-BE49-F238E27FC236}">
              <a16:creationId xmlns:a16="http://schemas.microsoft.com/office/drawing/2014/main" id="{95081538-63C7-4CA1-92F0-CCE1F7972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361122</xdr:colOff>
      <xdr:row>39</xdr:row>
      <xdr:rowOff>254000</xdr:rowOff>
    </xdr:from>
    <xdr:to>
      <xdr:col>29</xdr:col>
      <xdr:colOff>3396698</xdr:colOff>
      <xdr:row>45</xdr:row>
      <xdr:rowOff>1082675</xdr:rowOff>
    </xdr:to>
    <xdr:graphicFrame macro="">
      <xdr:nvGraphicFramePr>
        <xdr:cNvPr id="3" name="Chart 3">
          <a:extLst>
            <a:ext uri="{FF2B5EF4-FFF2-40B4-BE49-F238E27FC236}">
              <a16:creationId xmlns:a16="http://schemas.microsoft.com/office/drawing/2014/main" id="{E8B4F83D-9E59-4D6A-B532-A8E3A7F4915A}"/>
            </a:ext>
            <a:ext uri="{147F2762-F138-4A5C-976F-8EAC2B608ADB}">
              <a16:predDERef xmlns:a16="http://schemas.microsoft.com/office/drawing/2014/main" pred="{5A346F66-683B-8C5F-379C-15EB56563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960059</xdr:colOff>
      <xdr:row>30</xdr:row>
      <xdr:rowOff>158447</xdr:rowOff>
    </xdr:from>
    <xdr:to>
      <xdr:col>36</xdr:col>
      <xdr:colOff>439964</xdr:colOff>
      <xdr:row>39</xdr:row>
      <xdr:rowOff>44147</xdr:rowOff>
    </xdr:to>
    <xdr:graphicFrame macro="">
      <xdr:nvGraphicFramePr>
        <xdr:cNvPr id="4" name="Chart 3">
          <a:extLst>
            <a:ext uri="{FF2B5EF4-FFF2-40B4-BE49-F238E27FC236}">
              <a16:creationId xmlns:a16="http://schemas.microsoft.com/office/drawing/2014/main" id="{CE9C9A99-3BA9-4AFE-9184-BA560F2DB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1065893</xdr:colOff>
      <xdr:row>25</xdr:row>
      <xdr:rowOff>206828</xdr:rowOff>
    </xdr:from>
    <xdr:to>
      <xdr:col>39</xdr:col>
      <xdr:colOff>1147536</xdr:colOff>
      <xdr:row>34</xdr:row>
      <xdr:rowOff>92528</xdr:rowOff>
    </xdr:to>
    <xdr:graphicFrame macro="">
      <xdr:nvGraphicFramePr>
        <xdr:cNvPr id="5" name="Chart 4">
          <a:extLst>
            <a:ext uri="{FF2B5EF4-FFF2-40B4-BE49-F238E27FC236}">
              <a16:creationId xmlns:a16="http://schemas.microsoft.com/office/drawing/2014/main" id="{58502F13-3345-49F0-A0CF-4A7C5C880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932054</xdr:colOff>
      <xdr:row>13</xdr:row>
      <xdr:rowOff>58134</xdr:rowOff>
    </xdr:from>
    <xdr:to>
      <xdr:col>33</xdr:col>
      <xdr:colOff>2629</xdr:colOff>
      <xdr:row>27</xdr:row>
      <xdr:rowOff>256365</xdr:rowOff>
    </xdr:to>
    <xdr:graphicFrame macro="">
      <xdr:nvGraphicFramePr>
        <xdr:cNvPr id="6" name="Chart 2">
          <a:extLst>
            <a:ext uri="{FF2B5EF4-FFF2-40B4-BE49-F238E27FC236}">
              <a16:creationId xmlns:a16="http://schemas.microsoft.com/office/drawing/2014/main" id="{67E39A01-A031-4F20-BACF-FAE50725F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361122</xdr:colOff>
      <xdr:row>39</xdr:row>
      <xdr:rowOff>254000</xdr:rowOff>
    </xdr:from>
    <xdr:to>
      <xdr:col>29</xdr:col>
      <xdr:colOff>3396698</xdr:colOff>
      <xdr:row>45</xdr:row>
      <xdr:rowOff>1082675</xdr:rowOff>
    </xdr:to>
    <xdr:graphicFrame macro="">
      <xdr:nvGraphicFramePr>
        <xdr:cNvPr id="7" name="Chart 3">
          <a:extLst>
            <a:ext uri="{FF2B5EF4-FFF2-40B4-BE49-F238E27FC236}">
              <a16:creationId xmlns:a16="http://schemas.microsoft.com/office/drawing/2014/main" id="{7A2A190F-E213-41C4-9796-A4F032E2CA5B}"/>
            </a:ext>
            <a:ext uri="{147F2762-F138-4A5C-976F-8EAC2B608ADB}">
              <a16:predDERef xmlns:a16="http://schemas.microsoft.com/office/drawing/2014/main" pred="{5A346F66-683B-8C5F-379C-15EB56563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999297</xdr:colOff>
      <xdr:row>86</xdr:row>
      <xdr:rowOff>682625</xdr:rowOff>
    </xdr:from>
    <xdr:to>
      <xdr:col>29</xdr:col>
      <xdr:colOff>4034873</xdr:colOff>
      <xdr:row>93</xdr:row>
      <xdr:rowOff>254000</xdr:rowOff>
    </xdr:to>
    <xdr:graphicFrame macro="">
      <xdr:nvGraphicFramePr>
        <xdr:cNvPr id="8" name="Chart 4">
          <a:extLst>
            <a:ext uri="{FF2B5EF4-FFF2-40B4-BE49-F238E27FC236}">
              <a16:creationId xmlns:a16="http://schemas.microsoft.com/office/drawing/2014/main" id="{533DE06C-688F-4117-A028-AA54991AE3AB}"/>
            </a:ext>
            <a:ext uri="{147F2762-F138-4A5C-976F-8EAC2B608ADB}">
              <a16:predDERef xmlns:a16="http://schemas.microsoft.com/office/drawing/2014/main" pred="{AC3B835A-494C-DB1E-7A63-2534C5688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1187174</xdr:colOff>
      <xdr:row>420</xdr:row>
      <xdr:rowOff>13805</xdr:rowOff>
    </xdr:from>
    <xdr:to>
      <xdr:col>13</xdr:col>
      <xdr:colOff>788856</xdr:colOff>
      <xdr:row>430</xdr:row>
      <xdr:rowOff>211393</xdr:rowOff>
    </xdr:to>
    <xdr:graphicFrame macro="">
      <xdr:nvGraphicFramePr>
        <xdr:cNvPr id="9" name="Chart 5">
          <a:extLst>
            <a:ext uri="{FF2B5EF4-FFF2-40B4-BE49-F238E27FC236}">
              <a16:creationId xmlns:a16="http://schemas.microsoft.com/office/drawing/2014/main" id="{6CC10278-B309-48CB-A51A-52E391615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960059</xdr:colOff>
      <xdr:row>30</xdr:row>
      <xdr:rowOff>158447</xdr:rowOff>
    </xdr:from>
    <xdr:to>
      <xdr:col>36</xdr:col>
      <xdr:colOff>439964</xdr:colOff>
      <xdr:row>39</xdr:row>
      <xdr:rowOff>44147</xdr:rowOff>
    </xdr:to>
    <xdr:graphicFrame macro="">
      <xdr:nvGraphicFramePr>
        <xdr:cNvPr id="10" name="Chart 9">
          <a:extLst>
            <a:ext uri="{FF2B5EF4-FFF2-40B4-BE49-F238E27FC236}">
              <a16:creationId xmlns:a16="http://schemas.microsoft.com/office/drawing/2014/main" id="{6AAC6829-F4DB-4C10-A783-49E4CA8B7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36</xdr:col>
      <xdr:colOff>1065893</xdr:colOff>
      <xdr:row>25</xdr:row>
      <xdr:rowOff>206828</xdr:rowOff>
    </xdr:from>
    <xdr:to>
      <xdr:col>39</xdr:col>
      <xdr:colOff>1147536</xdr:colOff>
      <xdr:row>34</xdr:row>
      <xdr:rowOff>92528</xdr:rowOff>
    </xdr:to>
    <xdr:graphicFrame macro="">
      <xdr:nvGraphicFramePr>
        <xdr:cNvPr id="11" name="Chart 10">
          <a:extLst>
            <a:ext uri="{FF2B5EF4-FFF2-40B4-BE49-F238E27FC236}">
              <a16:creationId xmlns:a16="http://schemas.microsoft.com/office/drawing/2014/main" id="{C7A86E30-94BB-4DA3-965B-6C08ADA35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1510392</xdr:colOff>
      <xdr:row>21</xdr:row>
      <xdr:rowOff>95496</xdr:rowOff>
    </xdr:from>
    <xdr:to>
      <xdr:col>27</xdr:col>
      <xdr:colOff>5534394</xdr:colOff>
      <xdr:row>39</xdr:row>
      <xdr:rowOff>185551</xdr:rowOff>
    </xdr:to>
    <xdr:graphicFrame macro="">
      <xdr:nvGraphicFramePr>
        <xdr:cNvPr id="12" name="Chart 11">
          <a:extLst>
            <a:ext uri="{FF2B5EF4-FFF2-40B4-BE49-F238E27FC236}">
              <a16:creationId xmlns:a16="http://schemas.microsoft.com/office/drawing/2014/main" id="{3276FB41-E8C3-4ECA-BA6D-813D8A55D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449036</xdr:colOff>
      <xdr:row>30</xdr:row>
      <xdr:rowOff>234042</xdr:rowOff>
    </xdr:from>
    <xdr:to>
      <xdr:col>24</xdr:col>
      <xdr:colOff>1047750</xdr:colOff>
      <xdr:row>39</xdr:row>
      <xdr:rowOff>160564</xdr:rowOff>
    </xdr:to>
    <xdr:graphicFrame macro="">
      <xdr:nvGraphicFramePr>
        <xdr:cNvPr id="13" name="Chart 12">
          <a:extLst>
            <a:ext uri="{FF2B5EF4-FFF2-40B4-BE49-F238E27FC236}">
              <a16:creationId xmlns:a16="http://schemas.microsoft.com/office/drawing/2014/main" id="{DB4DDA9B-D9E8-4694-8969-F874D77A9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680356</xdr:colOff>
      <xdr:row>9</xdr:row>
      <xdr:rowOff>206828</xdr:rowOff>
    </xdr:from>
    <xdr:to>
      <xdr:col>27</xdr:col>
      <xdr:colOff>585106</xdr:colOff>
      <xdr:row>18</xdr:row>
      <xdr:rowOff>133350</xdr:rowOff>
    </xdr:to>
    <xdr:graphicFrame macro="">
      <xdr:nvGraphicFramePr>
        <xdr:cNvPr id="14" name="Chart 13">
          <a:extLst>
            <a:ext uri="{FF2B5EF4-FFF2-40B4-BE49-F238E27FC236}">
              <a16:creationId xmlns:a16="http://schemas.microsoft.com/office/drawing/2014/main" id="{7C2998BF-B924-4590-8CDE-7BEA5238B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1442357</xdr:colOff>
      <xdr:row>18</xdr:row>
      <xdr:rowOff>57150</xdr:rowOff>
    </xdr:from>
    <xdr:to>
      <xdr:col>27</xdr:col>
      <xdr:colOff>1347107</xdr:colOff>
      <xdr:row>26</xdr:row>
      <xdr:rowOff>296636</xdr:rowOff>
    </xdr:to>
    <xdr:graphicFrame macro="">
      <xdr:nvGraphicFramePr>
        <xdr:cNvPr id="15" name="Chart 14">
          <a:extLst>
            <a:ext uri="{FF2B5EF4-FFF2-40B4-BE49-F238E27FC236}">
              <a16:creationId xmlns:a16="http://schemas.microsoft.com/office/drawing/2014/main" id="{856FFB66-624B-4BEF-8A4C-ED1F69A65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932054</xdr:colOff>
      <xdr:row>13</xdr:row>
      <xdr:rowOff>58134</xdr:rowOff>
    </xdr:from>
    <xdr:to>
      <xdr:col>17</xdr:col>
      <xdr:colOff>2629</xdr:colOff>
      <xdr:row>27</xdr:row>
      <xdr:rowOff>256365</xdr:rowOff>
    </xdr:to>
    <xdr:graphicFrame macro="">
      <xdr:nvGraphicFramePr>
        <xdr:cNvPr id="2" name="Chart 2">
          <a:extLst>
            <a:ext uri="{FF2B5EF4-FFF2-40B4-BE49-F238E27FC236}">
              <a16:creationId xmlns:a16="http://schemas.microsoft.com/office/drawing/2014/main" id="{23F8596A-8B26-43FA-B22D-AD6AAA8BF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361122</xdr:colOff>
      <xdr:row>39</xdr:row>
      <xdr:rowOff>254000</xdr:rowOff>
    </xdr:from>
    <xdr:to>
      <xdr:col>13</xdr:col>
      <xdr:colOff>3396698</xdr:colOff>
      <xdr:row>45</xdr:row>
      <xdr:rowOff>1082675</xdr:rowOff>
    </xdr:to>
    <xdr:graphicFrame macro="">
      <xdr:nvGraphicFramePr>
        <xdr:cNvPr id="3" name="Chart 3">
          <a:extLst>
            <a:ext uri="{FF2B5EF4-FFF2-40B4-BE49-F238E27FC236}">
              <a16:creationId xmlns:a16="http://schemas.microsoft.com/office/drawing/2014/main" id="{5EA89637-2FA1-46C2-B148-32D57DAB3A15}"/>
            </a:ext>
            <a:ext uri="{147F2762-F138-4A5C-976F-8EAC2B608ADB}">
              <a16:predDERef xmlns:a16="http://schemas.microsoft.com/office/drawing/2014/main" pred="{5A346F66-683B-8C5F-379C-15EB56563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999297</xdr:colOff>
      <xdr:row>86</xdr:row>
      <xdr:rowOff>682625</xdr:rowOff>
    </xdr:from>
    <xdr:to>
      <xdr:col>13</xdr:col>
      <xdr:colOff>4034873</xdr:colOff>
      <xdr:row>93</xdr:row>
      <xdr:rowOff>254000</xdr:rowOff>
    </xdr:to>
    <xdr:graphicFrame macro="">
      <xdr:nvGraphicFramePr>
        <xdr:cNvPr id="4" name="Chart 4">
          <a:extLst>
            <a:ext uri="{FF2B5EF4-FFF2-40B4-BE49-F238E27FC236}">
              <a16:creationId xmlns:a16="http://schemas.microsoft.com/office/drawing/2014/main" id="{358865D2-8573-4514-AEE4-BDFDCE55D4E7}"/>
            </a:ext>
            <a:ext uri="{147F2762-F138-4A5C-976F-8EAC2B608ADB}">
              <a16:predDERef xmlns:a16="http://schemas.microsoft.com/office/drawing/2014/main" pred="{AC3B835A-494C-DB1E-7A63-2534C5688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1187174</xdr:colOff>
      <xdr:row>292</xdr:row>
      <xdr:rowOff>13805</xdr:rowOff>
    </xdr:from>
    <xdr:to>
      <xdr:col>7</xdr:col>
      <xdr:colOff>788856</xdr:colOff>
      <xdr:row>302</xdr:row>
      <xdr:rowOff>211393</xdr:rowOff>
    </xdr:to>
    <xdr:graphicFrame macro="">
      <xdr:nvGraphicFramePr>
        <xdr:cNvPr id="5" name="Chart 5">
          <a:extLst>
            <a:ext uri="{FF2B5EF4-FFF2-40B4-BE49-F238E27FC236}">
              <a16:creationId xmlns:a16="http://schemas.microsoft.com/office/drawing/2014/main" id="{882B8715-603A-4039-8290-CD28FC4C1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960059</xdr:colOff>
      <xdr:row>30</xdr:row>
      <xdr:rowOff>158447</xdr:rowOff>
    </xdr:from>
    <xdr:to>
      <xdr:col>20</xdr:col>
      <xdr:colOff>439964</xdr:colOff>
      <xdr:row>39</xdr:row>
      <xdr:rowOff>44147</xdr:rowOff>
    </xdr:to>
    <xdr:graphicFrame macro="">
      <xdr:nvGraphicFramePr>
        <xdr:cNvPr id="6" name="Chart 5">
          <a:extLst>
            <a:ext uri="{FF2B5EF4-FFF2-40B4-BE49-F238E27FC236}">
              <a16:creationId xmlns:a16="http://schemas.microsoft.com/office/drawing/2014/main" id="{344C2929-F64F-4D80-9354-FE46429E9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1065893</xdr:colOff>
      <xdr:row>25</xdr:row>
      <xdr:rowOff>206828</xdr:rowOff>
    </xdr:from>
    <xdr:to>
      <xdr:col>23</xdr:col>
      <xdr:colOff>1147536</xdr:colOff>
      <xdr:row>34</xdr:row>
      <xdr:rowOff>92528</xdr:rowOff>
    </xdr:to>
    <xdr:graphicFrame macro="">
      <xdr:nvGraphicFramePr>
        <xdr:cNvPr id="7" name="Chart 6">
          <a:extLst>
            <a:ext uri="{FF2B5EF4-FFF2-40B4-BE49-F238E27FC236}">
              <a16:creationId xmlns:a16="http://schemas.microsoft.com/office/drawing/2014/main" id="{8F892AE7-339F-4C11-A13D-041F97409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473075</xdr:colOff>
      <xdr:row>137</xdr:row>
      <xdr:rowOff>120650</xdr:rowOff>
    </xdr:from>
    <xdr:to>
      <xdr:col>4</xdr:col>
      <xdr:colOff>1000125</xdr:colOff>
      <xdr:row>152</xdr:row>
      <xdr:rowOff>95250</xdr:rowOff>
    </xdr:to>
    <xdr:graphicFrame macro="">
      <xdr:nvGraphicFramePr>
        <xdr:cNvPr id="2" name="Chart 1">
          <a:extLst>
            <a:ext uri="{FF2B5EF4-FFF2-40B4-BE49-F238E27FC236}">
              <a16:creationId xmlns:a16="http://schemas.microsoft.com/office/drawing/2014/main" id="{E74DCB85-CA8E-4ACA-A3F7-36A06163C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21</xdr:col>
      <xdr:colOff>123825</xdr:colOff>
      <xdr:row>22</xdr:row>
      <xdr:rowOff>80962</xdr:rowOff>
    </xdr:from>
    <xdr:to>
      <xdr:col>27</xdr:col>
      <xdr:colOff>142875</xdr:colOff>
      <xdr:row>36</xdr:row>
      <xdr:rowOff>147637</xdr:rowOff>
    </xdr:to>
    <xdr:graphicFrame macro="">
      <xdr:nvGraphicFramePr>
        <xdr:cNvPr id="2" name="Chart 1">
          <a:extLst>
            <a:ext uri="{FF2B5EF4-FFF2-40B4-BE49-F238E27FC236}">
              <a16:creationId xmlns:a16="http://schemas.microsoft.com/office/drawing/2014/main" id="{F1D0CAF5-2152-4EC7-A625-2A66CBB2D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438150</xdr:colOff>
      <xdr:row>21</xdr:row>
      <xdr:rowOff>138112</xdr:rowOff>
    </xdr:from>
    <xdr:to>
      <xdr:col>26</xdr:col>
      <xdr:colOff>504825</xdr:colOff>
      <xdr:row>36</xdr:row>
      <xdr:rowOff>4762</xdr:rowOff>
    </xdr:to>
    <xdr:graphicFrame macro="">
      <xdr:nvGraphicFramePr>
        <xdr:cNvPr id="3" name="Chart 2">
          <a:extLst>
            <a:ext uri="{FF2B5EF4-FFF2-40B4-BE49-F238E27FC236}">
              <a16:creationId xmlns:a16="http://schemas.microsoft.com/office/drawing/2014/main" id="{F41D23E5-98A7-4FA4-A9F0-0A5B4947D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466725</xdr:colOff>
      <xdr:row>32</xdr:row>
      <xdr:rowOff>168275</xdr:rowOff>
    </xdr:from>
    <xdr:to>
      <xdr:col>19</xdr:col>
      <xdr:colOff>454025</xdr:colOff>
      <xdr:row>47</xdr:row>
      <xdr:rowOff>149225</xdr:rowOff>
    </xdr:to>
    <xdr:graphicFrame macro="">
      <xdr:nvGraphicFramePr>
        <xdr:cNvPr id="2" name="Chart 1">
          <a:extLst>
            <a:ext uri="{FF2B5EF4-FFF2-40B4-BE49-F238E27FC236}">
              <a16:creationId xmlns:a16="http://schemas.microsoft.com/office/drawing/2014/main" id="{BEFF4BFA-6825-10C2-F639-C698D504D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466725</xdr:colOff>
      <xdr:row>32</xdr:row>
      <xdr:rowOff>168275</xdr:rowOff>
    </xdr:from>
    <xdr:to>
      <xdr:col>19</xdr:col>
      <xdr:colOff>454025</xdr:colOff>
      <xdr:row>47</xdr:row>
      <xdr:rowOff>149225</xdr:rowOff>
    </xdr:to>
    <xdr:graphicFrame macro="">
      <xdr:nvGraphicFramePr>
        <xdr:cNvPr id="2" name="Chart 1">
          <a:extLst>
            <a:ext uri="{FF2B5EF4-FFF2-40B4-BE49-F238E27FC236}">
              <a16:creationId xmlns:a16="http://schemas.microsoft.com/office/drawing/2014/main" id="{7EA193CD-C42C-4B53-947D-26C80855F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473075</xdr:colOff>
      <xdr:row>167</xdr:row>
      <xdr:rowOff>120650</xdr:rowOff>
    </xdr:from>
    <xdr:to>
      <xdr:col>4</xdr:col>
      <xdr:colOff>1000125</xdr:colOff>
      <xdr:row>182</xdr:row>
      <xdr:rowOff>95250</xdr:rowOff>
    </xdr:to>
    <xdr:graphicFrame macro="">
      <xdr:nvGraphicFramePr>
        <xdr:cNvPr id="2" name="Chart 1">
          <a:extLst>
            <a:ext uri="{FF2B5EF4-FFF2-40B4-BE49-F238E27FC236}">
              <a16:creationId xmlns:a16="http://schemas.microsoft.com/office/drawing/2014/main" id="{73C0E00A-18B2-4A61-8F8B-14AD61174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97770</xdr:colOff>
      <xdr:row>23</xdr:row>
      <xdr:rowOff>90768</xdr:rowOff>
    </xdr:from>
    <xdr:to>
      <xdr:col>15</xdr:col>
      <xdr:colOff>558332</xdr:colOff>
      <xdr:row>33</xdr:row>
      <xdr:rowOff>217395</xdr:rowOff>
    </xdr:to>
    <xdr:graphicFrame macro="">
      <xdr:nvGraphicFramePr>
        <xdr:cNvPr id="2" name="Chart 1">
          <a:extLst>
            <a:ext uri="{FF2B5EF4-FFF2-40B4-BE49-F238E27FC236}">
              <a16:creationId xmlns:a16="http://schemas.microsoft.com/office/drawing/2014/main" id="{EFEF67B2-E87E-57D8-28CC-B80ADAFFA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64433</xdr:colOff>
      <xdr:row>2</xdr:row>
      <xdr:rowOff>28576</xdr:rowOff>
    </xdr:from>
    <xdr:to>
      <xdr:col>15</xdr:col>
      <xdr:colOff>584947</xdr:colOff>
      <xdr:row>12</xdr:row>
      <xdr:rowOff>121585</xdr:rowOff>
    </xdr:to>
    <xdr:graphicFrame macro="">
      <xdr:nvGraphicFramePr>
        <xdr:cNvPr id="3" name="Chart 2">
          <a:extLst>
            <a:ext uri="{FF2B5EF4-FFF2-40B4-BE49-F238E27FC236}">
              <a16:creationId xmlns:a16="http://schemas.microsoft.com/office/drawing/2014/main" id="{200CA6BA-C3D4-AA55-1F45-6A643A5FD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86846</xdr:colOff>
      <xdr:row>33</xdr:row>
      <xdr:rowOff>258856</xdr:rowOff>
    </xdr:from>
    <xdr:to>
      <xdr:col>15</xdr:col>
      <xdr:colOff>586068</xdr:colOff>
      <xdr:row>43</xdr:row>
      <xdr:rowOff>239806</xdr:rowOff>
    </xdr:to>
    <xdr:graphicFrame macro="">
      <xdr:nvGraphicFramePr>
        <xdr:cNvPr id="4" name="Chart 3">
          <a:extLst>
            <a:ext uri="{FF2B5EF4-FFF2-40B4-BE49-F238E27FC236}">
              <a16:creationId xmlns:a16="http://schemas.microsoft.com/office/drawing/2014/main" id="{FFB34762-7EB1-729D-B9B4-904ECB72B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70924</xdr:colOff>
      <xdr:row>12</xdr:row>
      <xdr:rowOff>201763</xdr:rowOff>
    </xdr:from>
    <xdr:to>
      <xdr:col>15</xdr:col>
      <xdr:colOff>588790</xdr:colOff>
      <xdr:row>23</xdr:row>
      <xdr:rowOff>16634</xdr:rowOff>
    </xdr:to>
    <xdr:graphicFrame macro="">
      <xdr:nvGraphicFramePr>
        <xdr:cNvPr id="5" name="Chart 4">
          <a:extLst>
            <a:ext uri="{FF2B5EF4-FFF2-40B4-BE49-F238E27FC236}">
              <a16:creationId xmlns:a16="http://schemas.microsoft.com/office/drawing/2014/main" id="{677DF25E-FE0E-1666-0373-1489BA8E7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633519</xdr:colOff>
      <xdr:row>68</xdr:row>
      <xdr:rowOff>42272</xdr:rowOff>
    </xdr:from>
    <xdr:to>
      <xdr:col>13</xdr:col>
      <xdr:colOff>228947</xdr:colOff>
      <xdr:row>83</xdr:row>
      <xdr:rowOff>69012</xdr:rowOff>
    </xdr:to>
    <xdr:graphicFrame macro="">
      <xdr:nvGraphicFramePr>
        <xdr:cNvPr id="6" name="Chart 5">
          <a:extLst>
            <a:ext uri="{FF2B5EF4-FFF2-40B4-BE49-F238E27FC236}">
              <a16:creationId xmlns:a16="http://schemas.microsoft.com/office/drawing/2014/main" id="{DBF72A85-4FB9-E078-A42A-BF6D701A4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512990</xdr:colOff>
      <xdr:row>42</xdr:row>
      <xdr:rowOff>23812</xdr:rowOff>
    </xdr:from>
    <xdr:to>
      <xdr:col>22</xdr:col>
      <xdr:colOff>585108</xdr:colOff>
      <xdr:row>57</xdr:row>
      <xdr:rowOff>172130</xdr:rowOff>
    </xdr:to>
    <xdr:graphicFrame macro="">
      <xdr:nvGraphicFramePr>
        <xdr:cNvPr id="2" name="Chart 1">
          <a:extLst>
            <a:ext uri="{FF2B5EF4-FFF2-40B4-BE49-F238E27FC236}">
              <a16:creationId xmlns:a16="http://schemas.microsoft.com/office/drawing/2014/main" id="{9901A3D6-788D-2776-4D24-80B3890BE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0</xdr:row>
      <xdr:rowOff>61912</xdr:rowOff>
    </xdr:from>
    <xdr:to>
      <xdr:col>14</xdr:col>
      <xdr:colOff>257175</xdr:colOff>
      <xdr:row>17</xdr:row>
      <xdr:rowOff>152400</xdr:rowOff>
    </xdr:to>
    <xdr:graphicFrame macro="">
      <xdr:nvGraphicFramePr>
        <xdr:cNvPr id="2" name="Chart 1">
          <a:extLst>
            <a:ext uri="{FF2B5EF4-FFF2-40B4-BE49-F238E27FC236}">
              <a16:creationId xmlns:a16="http://schemas.microsoft.com/office/drawing/2014/main" id="{5F457A18-E03E-96A0-C589-DE3012373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2555854</xdr:colOff>
      <xdr:row>18</xdr:row>
      <xdr:rowOff>121783</xdr:rowOff>
    </xdr:from>
    <xdr:to>
      <xdr:col>18</xdr:col>
      <xdr:colOff>505257</xdr:colOff>
      <xdr:row>34</xdr:row>
      <xdr:rowOff>728661</xdr:rowOff>
    </xdr:to>
    <xdr:graphicFrame macro="">
      <xdr:nvGraphicFramePr>
        <xdr:cNvPr id="3" name="Chart 2">
          <a:extLst>
            <a:ext uri="{FF2B5EF4-FFF2-40B4-BE49-F238E27FC236}">
              <a16:creationId xmlns:a16="http://schemas.microsoft.com/office/drawing/2014/main" id="{C3A62BB9-3DCC-0B8A-B620-BAD67DDE4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30</xdr:row>
      <xdr:rowOff>0</xdr:rowOff>
    </xdr:from>
    <xdr:to>
      <xdr:col>29</xdr:col>
      <xdr:colOff>96857</xdr:colOff>
      <xdr:row>40</xdr:row>
      <xdr:rowOff>883968</xdr:rowOff>
    </xdr:to>
    <xdr:graphicFrame macro="">
      <xdr:nvGraphicFramePr>
        <xdr:cNvPr id="4" name="Chart 3">
          <a:extLst>
            <a:ext uri="{FF2B5EF4-FFF2-40B4-BE49-F238E27FC236}">
              <a16:creationId xmlns:a16="http://schemas.microsoft.com/office/drawing/2014/main" id="{9AF8DFFD-5783-42F9-B36F-EA2775066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333375</xdr:colOff>
      <xdr:row>2</xdr:row>
      <xdr:rowOff>133350</xdr:rowOff>
    </xdr:to>
    <xdr:pic>
      <xdr:nvPicPr>
        <xdr:cNvPr id="2" name="Picture 1">
          <a:hlinkClick xmlns:r="http://schemas.openxmlformats.org/officeDocument/2006/relationships" r:id="rId1"/>
          <a:extLst>
            <a:ext uri="{FF2B5EF4-FFF2-40B4-BE49-F238E27FC236}">
              <a16:creationId xmlns:a16="http://schemas.microsoft.com/office/drawing/2014/main" id="{B84AE8F3-712C-452B-83C3-187F357B6D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1925"/>
          <a:ext cx="17049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366712</xdr:colOff>
      <xdr:row>10</xdr:row>
      <xdr:rowOff>33337</xdr:rowOff>
    </xdr:from>
    <xdr:to>
      <xdr:col>13</xdr:col>
      <xdr:colOff>623887</xdr:colOff>
      <xdr:row>24</xdr:row>
      <xdr:rowOff>100012</xdr:rowOff>
    </xdr:to>
    <xdr:graphicFrame macro="">
      <xdr:nvGraphicFramePr>
        <xdr:cNvPr id="2" name="Chart 1">
          <a:extLst>
            <a:ext uri="{FF2B5EF4-FFF2-40B4-BE49-F238E27FC236}">
              <a16:creationId xmlns:a16="http://schemas.microsoft.com/office/drawing/2014/main" id="{5BE7CA84-0619-BE51-780E-0F6A436C7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333375</xdr:colOff>
      <xdr:row>2</xdr:row>
      <xdr:rowOff>133350</xdr:rowOff>
    </xdr:to>
    <xdr:pic>
      <xdr:nvPicPr>
        <xdr:cNvPr id="2" name="Picture 1">
          <a:hlinkClick xmlns:r="http://schemas.openxmlformats.org/officeDocument/2006/relationships" r:id="rId1"/>
          <a:extLst>
            <a:ext uri="{FF2B5EF4-FFF2-40B4-BE49-F238E27FC236}">
              <a16:creationId xmlns:a16="http://schemas.microsoft.com/office/drawing/2014/main" id="{7606B3A9-4074-46C0-9297-68551645E4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1925"/>
          <a:ext cx="17049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295275</xdr:colOff>
      <xdr:row>11</xdr:row>
      <xdr:rowOff>157162</xdr:rowOff>
    </xdr:from>
    <xdr:to>
      <xdr:col>17</xdr:col>
      <xdr:colOff>161925</xdr:colOff>
      <xdr:row>26</xdr:row>
      <xdr:rowOff>42862</xdr:rowOff>
    </xdr:to>
    <xdr:graphicFrame macro="">
      <xdr:nvGraphicFramePr>
        <xdr:cNvPr id="2" name="Chart 1">
          <a:extLst>
            <a:ext uri="{FF2B5EF4-FFF2-40B4-BE49-F238E27FC236}">
              <a16:creationId xmlns:a16="http://schemas.microsoft.com/office/drawing/2014/main" id="{F6038FBA-A647-8A66-65F0-DF6CC8018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642937</xdr:colOff>
      <xdr:row>1659</xdr:row>
      <xdr:rowOff>71437</xdr:rowOff>
    </xdr:from>
    <xdr:to>
      <xdr:col>10</xdr:col>
      <xdr:colOff>414337</xdr:colOff>
      <xdr:row>1674</xdr:row>
      <xdr:rowOff>100012</xdr:rowOff>
    </xdr:to>
    <xdr:graphicFrame macro="">
      <xdr:nvGraphicFramePr>
        <xdr:cNvPr id="2" name="Chart 1">
          <a:extLst>
            <a:ext uri="{FF2B5EF4-FFF2-40B4-BE49-F238E27FC236}">
              <a16:creationId xmlns:a16="http://schemas.microsoft.com/office/drawing/2014/main" id="{FD234810-2889-444C-9F4A-B0F7085B5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2</xdr:row>
      <xdr:rowOff>104775</xdr:rowOff>
    </xdr:from>
    <xdr:to>
      <xdr:col>10</xdr:col>
      <xdr:colOff>9525</xdr:colOff>
      <xdr:row>17</xdr:row>
      <xdr:rowOff>133350</xdr:rowOff>
    </xdr:to>
    <xdr:graphicFrame macro="">
      <xdr:nvGraphicFramePr>
        <xdr:cNvPr id="3" name="Chart 2">
          <a:extLst>
            <a:ext uri="{FF2B5EF4-FFF2-40B4-BE49-F238E27FC236}">
              <a16:creationId xmlns:a16="http://schemas.microsoft.com/office/drawing/2014/main" id="{CA6ACD4B-28AC-4BAD-8295-1FB17B81C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rmiteduau-my.sharepoint.com/personal/s3918855_rmit_edu_vn/Documents/equity%20a2%20for%20interfin%20a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3918855/Downloads/final%20interfin%20a3%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AFI3200%20-%20S3918855%20Nguyen%20Cao%20Minh%20Assignment%202-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CFE"/>
      <sheetName val="Sheet9"/>
      <sheetName val="revenue breakdown"/>
      <sheetName val="Sheet5"/>
      <sheetName val="PE"/>
      <sheetName val="Financial ratio"/>
      <sheetName val="CAPEX"/>
      <sheetName val="BS IS"/>
      <sheetName val="Sheet6"/>
      <sheetName val="CAPM"/>
      <sheetName val="Domes"/>
      <sheetName val="Vinamilk"/>
      <sheetName val="Sheet7"/>
      <sheetName val="Condensed milk"/>
      <sheetName val="Asia Pacific"/>
      <sheetName val="yogurt and sour milk"/>
      <sheetName val="cheese"/>
      <sheetName val="drinking milk"/>
      <sheetName val="baby food"/>
      <sheetName val="Sheet8"/>
      <sheetName val="plant-based dairy"/>
      <sheetName val="Morigana"/>
      <sheetName val="BS"/>
      <sheetName val="Sheet4"/>
      <sheetName val="Hatsun"/>
      <sheetName val="Yakult"/>
      <sheetName val="Feihe"/>
      <sheetName val="Bright"/>
      <sheetName val="revenue growth"/>
      <sheetName val="Sheet2"/>
      <sheetName val="Sheet1"/>
      <sheetName val="butter spreads"/>
      <sheetName val="drinking milk 2"/>
      <sheetName val="Sheet3"/>
    </sheetNames>
    <sheetDataSet>
      <sheetData sheetId="0">
        <row r="2">
          <cell r="B2">
            <v>2018</v>
          </cell>
          <cell r="C2">
            <v>2019</v>
          </cell>
          <cell r="D2">
            <v>2020</v>
          </cell>
          <cell r="E2">
            <v>2021</v>
          </cell>
          <cell r="F2">
            <v>2022</v>
          </cell>
          <cell r="G2" t="str">
            <v>2023F</v>
          </cell>
          <cell r="H2" t="str">
            <v>2024F</v>
          </cell>
          <cell r="I2" t="str">
            <v>2025F</v>
          </cell>
          <cell r="J2" t="str">
            <v>2026F</v>
          </cell>
          <cell r="K2" t="str">
            <v>2027F</v>
          </cell>
        </row>
        <row r="3">
          <cell r="A3" t="str">
            <v>Total revenue</v>
          </cell>
          <cell r="B3">
            <v>52561.95</v>
          </cell>
          <cell r="C3">
            <v>56318.123</v>
          </cell>
          <cell r="D3">
            <v>59636.286</v>
          </cell>
          <cell r="E3">
            <v>60919.165000000001</v>
          </cell>
          <cell r="F3">
            <v>59956.247000000003</v>
          </cell>
          <cell r="G3">
            <v>60528.348398094349</v>
          </cell>
          <cell r="H3">
            <v>61223.42902614129</v>
          </cell>
          <cell r="I3">
            <v>62003.395290794142</v>
          </cell>
          <cell r="J3">
            <v>62869.367433309628</v>
          </cell>
          <cell r="K3">
            <v>63823.005015414266</v>
          </cell>
        </row>
        <row r="27">
          <cell r="U27">
            <v>2018</v>
          </cell>
          <cell r="V27">
            <v>2019</v>
          </cell>
          <cell r="W27">
            <v>2020</v>
          </cell>
          <cell r="X27">
            <v>2021</v>
          </cell>
          <cell r="Y27">
            <v>2022</v>
          </cell>
          <cell r="Z27" t="str">
            <v>2023F</v>
          </cell>
          <cell r="AA27" t="str">
            <v>2024F</v>
          </cell>
          <cell r="AB27" t="str">
            <v>2025F</v>
          </cell>
          <cell r="AC27" t="str">
            <v>2026F</v>
          </cell>
          <cell r="AD27" t="str">
            <v>2027F</v>
          </cell>
        </row>
        <row r="28">
          <cell r="T28" t="str">
            <v>Drinking milk</v>
          </cell>
          <cell r="U28">
            <v>22610.49491097089</v>
          </cell>
          <cell r="V28">
            <v>25078.761399893556</v>
          </cell>
          <cell r="W28">
            <v>26708.310166984938</v>
          </cell>
          <cell r="X28">
            <v>27015.499627043584</v>
          </cell>
          <cell r="Y28">
            <v>25975.339980175617</v>
          </cell>
          <cell r="Z28">
            <v>26156.937299408415</v>
          </cell>
          <cell r="AA28">
            <v>26338.664264853298</v>
          </cell>
          <cell r="AB28">
            <v>26520.500206299643</v>
          </cell>
          <cell r="AC28">
            <v>26702.424147083308</v>
          </cell>
          <cell r="AD28">
            <v>26884.414804548302</v>
          </cell>
        </row>
        <row r="32">
          <cell r="W32">
            <v>2018</v>
          </cell>
          <cell r="X32">
            <v>2019</v>
          </cell>
          <cell r="Y32">
            <v>2020</v>
          </cell>
          <cell r="Z32">
            <v>2021</v>
          </cell>
          <cell r="AA32">
            <v>2022</v>
          </cell>
          <cell r="AB32" t="str">
            <v>2023F</v>
          </cell>
        </row>
        <row r="33">
          <cell r="V33" t="str">
            <v>Sua</v>
          </cell>
          <cell r="W33">
            <v>31</v>
          </cell>
          <cell r="X33">
            <v>32</v>
          </cell>
          <cell r="Y33">
            <v>34</v>
          </cell>
          <cell r="Z33">
            <v>37</v>
          </cell>
          <cell r="AA33">
            <v>39</v>
          </cell>
          <cell r="AB33">
            <v>42</v>
          </cell>
        </row>
        <row r="47">
          <cell r="B47">
            <v>2018</v>
          </cell>
          <cell r="C47">
            <v>2019</v>
          </cell>
          <cell r="D47">
            <v>2020</v>
          </cell>
          <cell r="E47">
            <v>2021</v>
          </cell>
          <cell r="F47">
            <v>2022</v>
          </cell>
          <cell r="G47" t="str">
            <v>2023F</v>
          </cell>
          <cell r="H47" t="str">
            <v>2024F</v>
          </cell>
          <cell r="I47" t="str">
            <v>2025F</v>
          </cell>
          <cell r="J47" t="str">
            <v>2026F</v>
          </cell>
          <cell r="K47" t="str">
            <v>2027F</v>
          </cell>
        </row>
        <row r="48">
          <cell r="A48" t="str">
            <v>COST BREAKDOWN</v>
          </cell>
          <cell r="B48">
            <v>42378.753979909998</v>
          </cell>
          <cell r="C48">
            <v>45758.074290750003</v>
          </cell>
          <cell r="D48">
            <v>34956.943557933002</v>
          </cell>
          <cell r="E48">
            <v>50241.584443779007</v>
          </cell>
          <cell r="F48">
            <v>51354.195901306994</v>
          </cell>
          <cell r="G48">
            <v>49067.986032907793</v>
          </cell>
          <cell r="H48">
            <v>49745.939876931443</v>
          </cell>
          <cell r="I48">
            <v>50665.151857869918</v>
          </cell>
          <cell r="J48">
            <v>51284.803720800359</v>
          </cell>
          <cell r="K48">
            <v>51937.319563267723</v>
          </cell>
        </row>
        <row r="88">
          <cell r="B88">
            <v>2018</v>
          </cell>
          <cell r="C88">
            <v>2019</v>
          </cell>
          <cell r="D88">
            <v>2020</v>
          </cell>
          <cell r="E88">
            <v>2021</v>
          </cell>
          <cell r="F88">
            <v>2022</v>
          </cell>
          <cell r="G88" t="str">
            <v>2023F</v>
          </cell>
          <cell r="H88" t="str">
            <v>2024F</v>
          </cell>
          <cell r="I88" t="str">
            <v>2025F</v>
          </cell>
          <cell r="J88" t="str">
            <v>2026F</v>
          </cell>
          <cell r="K88" t="str">
            <v>2027F</v>
          </cell>
        </row>
        <row r="89">
          <cell r="A89" t="str">
            <v>NET INCOME</v>
          </cell>
          <cell r="B89">
            <v>10183.196020089999</v>
          </cell>
          <cell r="C89">
            <v>10560.048709249997</v>
          </cell>
          <cell r="D89">
            <v>24679.342442066998</v>
          </cell>
          <cell r="E89">
            <v>10677.580556220993</v>
          </cell>
          <cell r="F89">
            <v>8602.0510986930094</v>
          </cell>
          <cell r="G89">
            <v>11460.362365186556</v>
          </cell>
          <cell r="H89">
            <v>11477.489149209847</v>
          </cell>
          <cell r="I89">
            <v>11338.243432924224</v>
          </cell>
          <cell r="J89">
            <v>11584.563712509269</v>
          </cell>
          <cell r="K89">
            <v>11885.685452146543</v>
          </cell>
        </row>
      </sheetData>
      <sheetData sheetId="1"/>
      <sheetData sheetId="2">
        <row r="3">
          <cell r="V3">
            <v>2019</v>
          </cell>
          <cell r="W3">
            <v>2020</v>
          </cell>
          <cell r="X3">
            <v>2021</v>
          </cell>
          <cell r="Y3">
            <v>2022</v>
          </cell>
        </row>
        <row r="4">
          <cell r="T4" t="str">
            <v>Baby Food</v>
          </cell>
          <cell r="V4">
            <v>6282.73</v>
          </cell>
          <cell r="W4">
            <v>6582.5418999999993</v>
          </cell>
          <cell r="X4">
            <v>6853.1112000000012</v>
          </cell>
          <cell r="Y4">
            <v>7271.4431999999997</v>
          </cell>
        </row>
        <row r="5">
          <cell r="T5" t="str">
            <v>Drinking Milk Products</v>
          </cell>
          <cell r="V5">
            <v>24016.704000000005</v>
          </cell>
          <cell r="W5">
            <v>26157.1548</v>
          </cell>
          <cell r="X5">
            <v>27401.003399999998</v>
          </cell>
          <cell r="Y5">
            <v>27325.682800000002</v>
          </cell>
        </row>
        <row r="6">
          <cell r="T6" t="str">
            <v>Yoghurt and Sour Milk Products</v>
          </cell>
          <cell r="V6">
            <v>11235.972</v>
          </cell>
          <cell r="W6">
            <v>12499.762799999999</v>
          </cell>
          <cell r="X6">
            <v>13519.2</v>
          </cell>
          <cell r="Y6">
            <v>14228.146799999999</v>
          </cell>
        </row>
        <row r="7">
          <cell r="T7" t="str">
            <v>Condensed milk</v>
          </cell>
          <cell r="V7">
            <v>6533.944199999999</v>
          </cell>
          <cell r="W7">
            <v>7147.5887999999986</v>
          </cell>
          <cell r="X7">
            <v>7398.7779999999993</v>
          </cell>
          <cell r="Y7">
            <v>7802.7528000000002</v>
          </cell>
        </row>
        <row r="8">
          <cell r="T8" t="str">
            <v>Plant-based and other dairy</v>
          </cell>
          <cell r="V8">
            <v>1549.1143999999997</v>
          </cell>
          <cell r="W8">
            <v>1638.1554000000001</v>
          </cell>
          <cell r="X8">
            <v>1673.2950000000001</v>
          </cell>
          <cell r="Y8">
            <v>1714.5980000000002</v>
          </cell>
        </row>
        <row r="9">
          <cell r="T9" t="str">
            <v>Force zero</v>
          </cell>
          <cell r="U9">
            <v>0</v>
          </cell>
        </row>
        <row r="12">
          <cell r="V12" t="str">
            <v>CAGR: 5.92%</v>
          </cell>
        </row>
        <row r="13">
          <cell r="T13" t="str">
            <v>CAGR</v>
          </cell>
          <cell r="U13">
            <v>3.9189550209582702E-2</v>
          </cell>
          <cell r="X13">
            <v>1</v>
          </cell>
          <cell r="Y13">
            <v>52376.53244000001</v>
          </cell>
          <cell r="AA13">
            <v>59735.27479000001</v>
          </cell>
        </row>
        <row r="14">
          <cell r="U14">
            <v>7.8379100419165397E-3</v>
          </cell>
          <cell r="X14">
            <v>4</v>
          </cell>
          <cell r="Y14">
            <v>67094.017140000011</v>
          </cell>
          <cell r="Z14">
            <v>2.5</v>
          </cell>
        </row>
        <row r="16">
          <cell r="T16" t="str">
            <v>Baby Food</v>
          </cell>
        </row>
        <row r="17">
          <cell r="M17">
            <v>6720.9928131646411</v>
          </cell>
          <cell r="N17">
            <v>6560.5624572777851</v>
          </cell>
          <cell r="O17">
            <v>6721.2421265471248</v>
          </cell>
          <cell r="P17">
            <v>6756.6950145952778</v>
          </cell>
          <cell r="Q17">
            <v>6912.1130713899711</v>
          </cell>
          <cell r="T17" t="str">
            <v>Drinking Milk Products</v>
          </cell>
        </row>
        <row r="18">
          <cell r="M18">
            <v>22610.49491097089</v>
          </cell>
          <cell r="N18">
            <v>25078.761399893556</v>
          </cell>
          <cell r="O18">
            <v>26708.310166984938</v>
          </cell>
          <cell r="P18">
            <v>27015.499627043584</v>
          </cell>
          <cell r="Q18">
            <v>25975.339980175617</v>
          </cell>
          <cell r="T18" t="str">
            <v>Yoghurt and Sour Milk Products</v>
          </cell>
        </row>
        <row r="19">
          <cell r="M19">
            <v>11034.082048659928</v>
          </cell>
          <cell r="N19">
            <v>11732.844810173981</v>
          </cell>
          <cell r="O19">
            <v>12763.144326237656</v>
          </cell>
          <cell r="P19">
            <v>13328.998840893822</v>
          </cell>
          <cell r="Q19">
            <v>13525.039909262496</v>
          </cell>
          <cell r="T19" t="str">
            <v>Condensed milk</v>
          </cell>
        </row>
        <row r="20">
          <cell r="M20">
            <v>6642.0427505041298</v>
          </cell>
          <cell r="N20">
            <v>6822.8857545156197</v>
          </cell>
          <cell r="O20">
            <v>7298.1950856699314</v>
          </cell>
          <cell r="P20">
            <v>7294.6848471825779</v>
          </cell>
          <cell r="Q20">
            <v>7417.1671480160494</v>
          </cell>
          <cell r="T20" t="str">
            <v>Plant-based and other dairy</v>
          </cell>
        </row>
        <row r="21">
          <cell r="M21">
            <v>1612.1912267004036</v>
          </cell>
          <cell r="N21">
            <v>1617.6187381390573</v>
          </cell>
          <cell r="O21">
            <v>1672.6728445603449</v>
          </cell>
          <cell r="P21">
            <v>1649.7534702847379</v>
          </cell>
          <cell r="Q21">
            <v>1629.8683661558553</v>
          </cell>
        </row>
        <row r="22">
          <cell r="M22">
            <v>3942.1462500000052</v>
          </cell>
          <cell r="N22">
            <v>4505.4498400000011</v>
          </cell>
          <cell r="O22">
            <v>4472.7214500000046</v>
          </cell>
          <cell r="P22">
            <v>4873.533199999998</v>
          </cell>
          <cell r="Q22">
            <v>4496.7185250000184</v>
          </cell>
        </row>
      </sheetData>
      <sheetData sheetId="3"/>
      <sheetData sheetId="4"/>
      <sheetData sheetId="5"/>
      <sheetData sheetId="6">
        <row r="29">
          <cell r="D29">
            <v>-1068</v>
          </cell>
          <cell r="E29">
            <v>-1142</v>
          </cell>
          <cell r="F29">
            <v>-2673</v>
          </cell>
          <cell r="G29">
            <v>-3186</v>
          </cell>
          <cell r="H29">
            <v>-2158</v>
          </cell>
          <cell r="I29">
            <v>-1265</v>
          </cell>
          <cell r="J29">
            <v>-1531</v>
          </cell>
          <cell r="K29">
            <v>-1457</v>
          </cell>
          <cell r="L29">
            <v>-1932.7551020408162</v>
          </cell>
          <cell r="M29">
            <v>-2200.3673469387754</v>
          </cell>
          <cell r="N29">
            <v>-2319.3061224489793</v>
          </cell>
          <cell r="O29">
            <v>-2557.1836734693875</v>
          </cell>
          <cell r="P29">
            <v>-2557.1836734693875</v>
          </cell>
        </row>
      </sheetData>
      <sheetData sheetId="7">
        <row r="26">
          <cell r="J26">
            <v>52561950</v>
          </cell>
          <cell r="K26">
            <v>56318123</v>
          </cell>
          <cell r="L26">
            <v>59636286</v>
          </cell>
          <cell r="M26">
            <v>60919165</v>
          </cell>
          <cell r="N26">
            <v>59956247</v>
          </cell>
        </row>
      </sheetData>
      <sheetData sheetId="8"/>
      <sheetData sheetId="9">
        <row r="5">
          <cell r="M5">
            <v>9.6952277172036666E-2</v>
          </cell>
        </row>
      </sheetData>
      <sheetData sheetId="10"/>
      <sheetData sheetId="11"/>
      <sheetData sheetId="12"/>
      <sheetData sheetId="13">
        <row r="7">
          <cell r="D7">
            <v>79.3</v>
          </cell>
          <cell r="E7">
            <v>79.8</v>
          </cell>
          <cell r="F7">
            <v>81.599999999999994</v>
          </cell>
          <cell r="G7">
            <v>82</v>
          </cell>
          <cell r="H7">
            <v>82.2</v>
          </cell>
        </row>
        <row r="71">
          <cell r="N71">
            <v>7515.4</v>
          </cell>
          <cell r="O71">
            <v>8187.9</v>
          </cell>
          <cell r="P71">
            <v>8759.2999999999993</v>
          </cell>
          <cell r="Q71">
            <v>9022.9</v>
          </cell>
          <cell r="R71">
            <v>9492.4</v>
          </cell>
        </row>
      </sheetData>
      <sheetData sheetId="14"/>
      <sheetData sheetId="15">
        <row r="59">
          <cell r="F59">
            <v>14821.2</v>
          </cell>
          <cell r="G59">
            <v>17024.2</v>
          </cell>
          <cell r="H59">
            <v>18996.599999999999</v>
          </cell>
          <cell r="I59">
            <v>20640</v>
          </cell>
          <cell r="J59">
            <v>22371.3</v>
          </cell>
        </row>
        <row r="62">
          <cell r="F62">
            <v>55.7</v>
          </cell>
          <cell r="G62">
            <v>53.8</v>
          </cell>
          <cell r="H62">
            <v>52.7</v>
          </cell>
          <cell r="I62">
            <v>51.6</v>
          </cell>
          <cell r="J62">
            <v>50.1</v>
          </cell>
        </row>
      </sheetData>
      <sheetData sheetId="16">
        <row r="23">
          <cell r="E23">
            <v>2.1505376344086447E-4</v>
          </cell>
        </row>
      </sheetData>
      <sheetData sheetId="17">
        <row r="26">
          <cell r="F26">
            <v>44785.3</v>
          </cell>
          <cell r="G26">
            <v>50034.8</v>
          </cell>
          <cell r="H26">
            <v>54155.6</v>
          </cell>
          <cell r="I26">
            <v>57204.6</v>
          </cell>
          <cell r="J26">
            <v>59274.8</v>
          </cell>
        </row>
        <row r="33">
          <cell r="B33">
            <v>45.3</v>
          </cell>
          <cell r="C33">
            <v>48</v>
          </cell>
          <cell r="D33">
            <v>48.3</v>
          </cell>
          <cell r="E33">
            <v>47.9</v>
          </cell>
          <cell r="F33">
            <v>46.1</v>
          </cell>
        </row>
      </sheetData>
      <sheetData sheetId="18">
        <row r="8">
          <cell r="E8">
            <v>24.5</v>
          </cell>
          <cell r="F8">
            <v>24.4</v>
          </cell>
          <cell r="G8">
            <v>23.2</v>
          </cell>
          <cell r="H8">
            <v>21.5</v>
          </cell>
          <cell r="I8">
            <v>19.899999999999999</v>
          </cell>
        </row>
        <row r="45">
          <cell r="P45">
            <v>33134.9</v>
          </cell>
          <cell r="Q45">
            <v>33067</v>
          </cell>
          <cell r="R45">
            <v>33078.1</v>
          </cell>
          <cell r="S45">
            <v>32479.200000000001</v>
          </cell>
          <cell r="T45">
            <v>32461.8</v>
          </cell>
        </row>
      </sheetData>
      <sheetData sheetId="19"/>
      <sheetData sheetId="20">
        <row r="26">
          <cell r="E26">
            <v>-7.6808626282151241E-3</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irement"/>
      <sheetName val="PHP Requirement"/>
      <sheetName val="NPV"/>
      <sheetName val="Mooncake"/>
      <sheetName val="Milk price"/>
      <sheetName val="Suagr price"/>
      <sheetName val="Wheat price"/>
      <sheetName val="Savoury snacks"/>
      <sheetName val="Biscuit share"/>
      <sheetName val="Raw"/>
      <sheetName val="NPV analysis"/>
      <sheetName val="Snack industry in PHP"/>
      <sheetName val="IFE raw"/>
      <sheetName val="PPP model final"/>
      <sheetName val="Sheet2"/>
      <sheetName val="IFE forecasting"/>
      <sheetName val="Sheet1"/>
      <sheetName val="raw forecast"/>
      <sheetName val="IFE"/>
      <sheetName val="Country risk"/>
      <sheetName val="borrrrow"/>
      <sheetName val="Sweet biscuit"/>
    </sheetNames>
    <sheetDataSet>
      <sheetData sheetId="0"/>
      <sheetData sheetId="1">
        <row r="5">
          <cell r="F5">
            <v>1133000</v>
          </cell>
        </row>
      </sheetData>
      <sheetData sheetId="2"/>
      <sheetData sheetId="3"/>
      <sheetData sheetId="4">
        <row r="9">
          <cell r="B9">
            <v>14262</v>
          </cell>
          <cell r="C9">
            <v>18116</v>
          </cell>
          <cell r="D9">
            <v>17708</v>
          </cell>
          <cell r="E9">
            <v>18705</v>
          </cell>
          <cell r="F9">
            <v>20292</v>
          </cell>
          <cell r="G9">
            <v>15169</v>
          </cell>
          <cell r="H9">
            <v>22423</v>
          </cell>
        </row>
      </sheetData>
      <sheetData sheetId="5">
        <row r="13">
          <cell r="C13">
            <v>0.12253531746031747</v>
          </cell>
          <cell r="D13">
            <v>0.12333888888888893</v>
          </cell>
          <cell r="E13">
            <v>0.12819525691699604</v>
          </cell>
          <cell r="F13">
            <v>0.17712196078431353</v>
          </cell>
          <cell r="G13">
            <v>0.18729883720930229</v>
          </cell>
          <cell r="H13">
            <v>0.23972490272373539</v>
          </cell>
          <cell r="I13">
            <v>0.20599780219780214</v>
          </cell>
        </row>
        <row r="200">
          <cell r="I200">
            <v>-2.0722635494155206E-2</v>
          </cell>
        </row>
      </sheetData>
      <sheetData sheetId="6">
        <row r="13">
          <cell r="C13">
            <v>4.9756765873015887</v>
          </cell>
          <cell r="D13">
            <v>4.9413849206349205</v>
          </cell>
          <cell r="E13">
            <v>5.4980454545454513</v>
          </cell>
          <cell r="F13">
            <v>7.0401862745098018</v>
          </cell>
          <cell r="G13">
            <v>9.5239011627907004</v>
          </cell>
          <cell r="H13">
            <v>7.2274918287937746</v>
          </cell>
          <cell r="I13">
            <v>6.3670274725274725</v>
          </cell>
        </row>
      </sheetData>
      <sheetData sheetId="7">
        <row r="28">
          <cell r="O28">
            <v>2.4585179118765836E-2</v>
          </cell>
        </row>
      </sheetData>
      <sheetData sheetId="8">
        <row r="33">
          <cell r="M33">
            <v>2.5431686916703353E-3</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FE MODEL"/>
      <sheetName val="MACRO MODEL"/>
      <sheetName val="for R test"/>
      <sheetName val="MACRO MODEL REGRESSIONN"/>
      <sheetName val="MIXED MODEL"/>
      <sheetName val="MIXED MODEL ERROR and COMPARISO"/>
      <sheetName val="RAW1"/>
      <sheetName val="RAW2"/>
      <sheetName val="RAW3"/>
      <sheetName val="RAW4"/>
      <sheetName val="RAW5"/>
      <sheetName val="RAW6"/>
      <sheetName val="RAW7"/>
      <sheetName val="RAW8"/>
      <sheetName val="RAW9"/>
      <sheetName val="RAW10"/>
      <sheetName val="RAW11"/>
      <sheetName val="RAW12"/>
      <sheetName val="RAW13"/>
      <sheetName val="RAW14"/>
      <sheetName val="RAW15"/>
    </sheetNames>
    <sheetDataSet>
      <sheetData sheetId="0">
        <row r="87">
          <cell r="C87" t="str">
            <v>Actual</v>
          </cell>
          <cell r="D87" t="str">
            <v>Predicted</v>
          </cell>
        </row>
        <row r="88">
          <cell r="B88" t="str">
            <v>Q1/2007</v>
          </cell>
          <cell r="C88">
            <v>21843.8</v>
          </cell>
          <cell r="D88">
            <v>21473.88092189153</v>
          </cell>
        </row>
        <row r="89">
          <cell r="B89" t="str">
            <v>Q2/2007</v>
          </cell>
          <cell r="C89">
            <v>22949.4</v>
          </cell>
          <cell r="D89">
            <v>21917.170478863143</v>
          </cell>
        </row>
        <row r="90">
          <cell r="B90" t="str">
            <v>Q3/2007</v>
          </cell>
          <cell r="C90">
            <v>23380</v>
          </cell>
          <cell r="D90">
            <v>23021.006337098126</v>
          </cell>
        </row>
        <row r="91">
          <cell r="B91" t="str">
            <v>Q4/2007</v>
          </cell>
          <cell r="C91">
            <v>25412.7</v>
          </cell>
          <cell r="D91">
            <v>23428.684442600665</v>
          </cell>
        </row>
        <row r="92">
          <cell r="B92" t="str">
            <v>Q1/2008</v>
          </cell>
          <cell r="C92">
            <v>26534.6</v>
          </cell>
          <cell r="D92">
            <v>25409.942129873194</v>
          </cell>
        </row>
        <row r="93">
          <cell r="B93" t="str">
            <v>Q2/2008</v>
          </cell>
          <cell r="C93">
            <v>23429.200000000001</v>
          </cell>
          <cell r="D93">
            <v>26466.991057237257</v>
          </cell>
        </row>
        <row r="94">
          <cell r="B94" t="str">
            <v>Q3/2008</v>
          </cell>
          <cell r="C94">
            <v>24441.200000000001</v>
          </cell>
          <cell r="D94">
            <v>23355.838727732516</v>
          </cell>
        </row>
        <row r="95">
          <cell r="B95" t="str">
            <v>Q4/2008</v>
          </cell>
          <cell r="C95">
            <v>23564.7</v>
          </cell>
          <cell r="D95">
            <v>24375.313675321344</v>
          </cell>
        </row>
        <row r="96">
          <cell r="B96" t="str">
            <v>Q1/2009</v>
          </cell>
          <cell r="C96">
            <v>24946.2</v>
          </cell>
          <cell r="D96">
            <v>23603.833299668353</v>
          </cell>
        </row>
        <row r="97">
          <cell r="B97" t="str">
            <v>Q2/2009</v>
          </cell>
          <cell r="C97">
            <v>26113.1</v>
          </cell>
          <cell r="D97">
            <v>25053.725464883282</v>
          </cell>
        </row>
        <row r="98">
          <cell r="B98" t="str">
            <v>Q3/2009</v>
          </cell>
          <cell r="C98">
            <v>26452.9</v>
          </cell>
          <cell r="D98">
            <v>26232.936129543144</v>
          </cell>
        </row>
        <row r="99">
          <cell r="B99" t="str">
            <v>Q4/2009</v>
          </cell>
          <cell r="C99">
            <v>25793.5</v>
          </cell>
          <cell r="D99">
            <v>26545.483452552904</v>
          </cell>
        </row>
        <row r="100">
          <cell r="B100" t="str">
            <v>Q1/2010</v>
          </cell>
          <cell r="C100">
            <v>23347.200000000001</v>
          </cell>
          <cell r="D100">
            <v>25862.874755181852</v>
          </cell>
        </row>
        <row r="101">
          <cell r="B101" t="str">
            <v>Q2/2010</v>
          </cell>
          <cell r="C101">
            <v>26550.3</v>
          </cell>
          <cell r="D101">
            <v>23415.693163881409</v>
          </cell>
        </row>
        <row r="102">
          <cell r="B102" t="str">
            <v>Q3/2010</v>
          </cell>
          <cell r="C102">
            <v>26076.5</v>
          </cell>
          <cell r="D102">
            <v>26630.122972588339</v>
          </cell>
        </row>
        <row r="103">
          <cell r="B103" t="str">
            <v>Q4/2010</v>
          </cell>
          <cell r="C103">
            <v>29574.400000000001</v>
          </cell>
          <cell r="D103">
            <v>26130.94981985577</v>
          </cell>
        </row>
        <row r="104">
          <cell r="B104" t="str">
            <v>Q1/2011</v>
          </cell>
          <cell r="C104">
            <v>29747.7</v>
          </cell>
          <cell r="D104">
            <v>29618.991948220508</v>
          </cell>
        </row>
        <row r="105">
          <cell r="B105" t="str">
            <v>Q2/2011</v>
          </cell>
          <cell r="C105">
            <v>27872.2</v>
          </cell>
          <cell r="D105">
            <v>29717.470327772597</v>
          </cell>
        </row>
        <row r="106">
          <cell r="B106" t="str">
            <v>Q3/2011</v>
          </cell>
          <cell r="C106">
            <v>27216.2</v>
          </cell>
          <cell r="D106">
            <v>27831.253594090955</v>
          </cell>
        </row>
        <row r="107">
          <cell r="B107" t="str">
            <v>Q4/2011</v>
          </cell>
          <cell r="C107">
            <v>27780.1</v>
          </cell>
          <cell r="D107">
            <v>27216.346461961657</v>
          </cell>
        </row>
        <row r="108">
          <cell r="B108" t="str">
            <v>Q1/2012</v>
          </cell>
          <cell r="C108">
            <v>26429.9</v>
          </cell>
          <cell r="D108">
            <v>27820.873559083153</v>
          </cell>
        </row>
        <row r="109">
          <cell r="B109" t="str">
            <v>Q2/2012</v>
          </cell>
          <cell r="C109">
            <v>26832.7</v>
          </cell>
          <cell r="D109">
            <v>26534.022361305389</v>
          </cell>
        </row>
        <row r="110">
          <cell r="B110" t="str">
            <v>Q3/2012</v>
          </cell>
          <cell r="C110">
            <v>27472</v>
          </cell>
          <cell r="D110">
            <v>26944.560236411657</v>
          </cell>
        </row>
        <row r="111">
          <cell r="B111" t="str">
            <v>Q4/2012</v>
          </cell>
          <cell r="C111">
            <v>26821.7</v>
          </cell>
          <cell r="D111">
            <v>27579.033408768708</v>
          </cell>
        </row>
        <row r="112">
          <cell r="B112" t="str">
            <v>Q1/2013</v>
          </cell>
          <cell r="C112">
            <v>27537.9</v>
          </cell>
          <cell r="D112">
            <v>26922.721891690308</v>
          </cell>
        </row>
        <row r="113">
          <cell r="B113" t="str">
            <v>Q2/2013</v>
          </cell>
          <cell r="C113">
            <v>28554</v>
          </cell>
          <cell r="D113">
            <v>27640.049424509773</v>
          </cell>
        </row>
        <row r="114">
          <cell r="B114" t="str">
            <v>Q3/2013</v>
          </cell>
          <cell r="C114">
            <v>28967.599999999999</v>
          </cell>
          <cell r="D114">
            <v>28658.491857784615</v>
          </cell>
        </row>
        <row r="115">
          <cell r="B115" t="str">
            <v>Q4/2013</v>
          </cell>
          <cell r="C115">
            <v>29020.3</v>
          </cell>
          <cell r="D115">
            <v>29073.009573042771</v>
          </cell>
        </row>
        <row r="116">
          <cell r="B116" t="str">
            <v>Q1/2014</v>
          </cell>
          <cell r="C116">
            <v>29161.8</v>
          </cell>
          <cell r="D116">
            <v>29140.314142939329</v>
          </cell>
        </row>
        <row r="117">
          <cell r="B117" t="str">
            <v>Q2/2014</v>
          </cell>
          <cell r="C117">
            <v>26746.1</v>
          </cell>
          <cell r="D117">
            <v>29275.995704045632</v>
          </cell>
        </row>
        <row r="118">
          <cell r="B118" t="str">
            <v>Q3/2014</v>
          </cell>
          <cell r="C118">
            <v>25851.3</v>
          </cell>
          <cell r="D118">
            <v>26862.317298411297</v>
          </cell>
        </row>
        <row r="119">
          <cell r="B119" t="str">
            <v>Q4/2014</v>
          </cell>
          <cell r="C119">
            <v>23091</v>
          </cell>
          <cell r="D119">
            <v>25975.870712011965</v>
          </cell>
        </row>
        <row r="120">
          <cell r="B120" t="str">
            <v>Q1/2015</v>
          </cell>
          <cell r="C120">
            <v>24263.200000000001</v>
          </cell>
          <cell r="D120">
            <v>23211.019413131209</v>
          </cell>
        </row>
        <row r="121">
          <cell r="B121" t="str">
            <v>Q2/2015</v>
          </cell>
          <cell r="C121">
            <v>25118.1</v>
          </cell>
          <cell r="D121">
            <v>24394.154098411265</v>
          </cell>
        </row>
        <row r="122">
          <cell r="B122" t="str">
            <v>Q3/2015</v>
          </cell>
          <cell r="C122">
            <v>24413.3</v>
          </cell>
          <cell r="D122">
            <v>25260.21779595187</v>
          </cell>
        </row>
        <row r="123">
          <cell r="B123" t="str">
            <v>Q4/2015</v>
          </cell>
          <cell r="C123">
            <v>25357</v>
          </cell>
          <cell r="D123">
            <v>24546.876040346677</v>
          </cell>
        </row>
        <row r="124">
          <cell r="B124" t="str">
            <v>Q1/2016</v>
          </cell>
          <cell r="C124">
            <v>24765.3</v>
          </cell>
          <cell r="D124">
            <v>25482.547222748381</v>
          </cell>
        </row>
        <row r="125">
          <cell r="B125" t="str">
            <v>Q2/2016</v>
          </cell>
          <cell r="C125">
            <v>25064.1</v>
          </cell>
          <cell r="D125">
            <v>24881.340620067273</v>
          </cell>
        </row>
        <row r="126">
          <cell r="B126" t="str">
            <v>Q3/2016</v>
          </cell>
          <cell r="C126">
            <v>23938.1</v>
          </cell>
          <cell r="D126">
            <v>25176.587925836553</v>
          </cell>
        </row>
        <row r="127">
          <cell r="B127" t="str">
            <v>Q4/2016</v>
          </cell>
          <cell r="C127">
            <v>24231</v>
          </cell>
          <cell r="D127">
            <v>24039.516398510128</v>
          </cell>
        </row>
        <row r="128">
          <cell r="B128" t="str">
            <v>Q1/2017</v>
          </cell>
          <cell r="C128">
            <v>25964.5</v>
          </cell>
          <cell r="D128">
            <v>24338.16138797954</v>
          </cell>
        </row>
        <row r="129">
          <cell r="B129" t="str">
            <v>Q2/2017</v>
          </cell>
          <cell r="C129">
            <v>26842.799999999999</v>
          </cell>
          <cell r="D129">
            <v>26097.579977588175</v>
          </cell>
        </row>
        <row r="130">
          <cell r="B130" t="str">
            <v>Q3/2017</v>
          </cell>
          <cell r="C130">
            <v>27240.5</v>
          </cell>
          <cell r="D130">
            <v>26974.883857287597</v>
          </cell>
        </row>
        <row r="131">
          <cell r="B131" t="str">
            <v>Q4/2017</v>
          </cell>
          <cell r="C131">
            <v>28083.3</v>
          </cell>
          <cell r="D131">
            <v>27379.516556783481</v>
          </cell>
        </row>
        <row r="132">
          <cell r="B132" t="str">
            <v>Q1/2018</v>
          </cell>
          <cell r="C132">
            <v>26819.5</v>
          </cell>
          <cell r="D132">
            <v>28227.045292461502</v>
          </cell>
        </row>
        <row r="133">
          <cell r="B133" t="str">
            <v>Q2/2018</v>
          </cell>
          <cell r="C133">
            <v>27075.7</v>
          </cell>
          <cell r="D133">
            <v>26942.982431399236</v>
          </cell>
        </row>
        <row r="134">
          <cell r="B134" t="str">
            <v>Q3/2018</v>
          </cell>
          <cell r="C134">
            <v>26596.6</v>
          </cell>
          <cell r="D134">
            <v>27208.224202458903</v>
          </cell>
        </row>
        <row r="135">
          <cell r="B135" t="str">
            <v>Q4/2018</v>
          </cell>
          <cell r="C135">
            <v>26026.799999999999</v>
          </cell>
          <cell r="D135">
            <v>26730.591456106333</v>
          </cell>
        </row>
        <row r="136">
          <cell r="B136" t="str">
            <v>Q1/2019</v>
          </cell>
          <cell r="C136">
            <v>26487.4</v>
          </cell>
          <cell r="D136">
            <v>26159.63499741198</v>
          </cell>
        </row>
        <row r="137">
          <cell r="B137" t="str">
            <v>Q2/2019</v>
          </cell>
          <cell r="C137">
            <v>25283.4</v>
          </cell>
          <cell r="D137">
            <v>26626.876616978385</v>
          </cell>
        </row>
        <row r="138">
          <cell r="B138" t="str">
            <v>Q3/2019</v>
          </cell>
          <cell r="C138">
            <v>25974.7</v>
          </cell>
          <cell r="D138">
            <v>25413.494530838678</v>
          </cell>
        </row>
        <row r="139">
          <cell r="B139" t="str">
            <v>Q4/2019</v>
          </cell>
          <cell r="C139">
            <v>26046.1</v>
          </cell>
          <cell r="D139">
            <v>26082.032338036508</v>
          </cell>
        </row>
        <row r="140">
          <cell r="B140" t="str">
            <v>Q1/2020</v>
          </cell>
          <cell r="C140">
            <v>26060.400000000001</v>
          </cell>
          <cell r="D140">
            <v>26150.890000884399</v>
          </cell>
        </row>
        <row r="141">
          <cell r="B141" t="str">
            <v>Q2/2020</v>
          </cell>
          <cell r="C141">
            <v>27163.5</v>
          </cell>
          <cell r="D141">
            <v>26178.011175241652</v>
          </cell>
        </row>
        <row r="142">
          <cell r="B142" t="str">
            <v>Q3/2020</v>
          </cell>
          <cell r="C142">
            <v>28175.4</v>
          </cell>
          <cell r="D142">
            <v>27281.736229026163</v>
          </cell>
        </row>
        <row r="143">
          <cell r="B143" t="str">
            <v>Q4/2020</v>
          </cell>
          <cell r="C143">
            <v>27061.200000000001</v>
          </cell>
          <cell r="D143">
            <v>28327.532780046316</v>
          </cell>
        </row>
        <row r="144">
          <cell r="B144" t="str">
            <v>Q1/2021</v>
          </cell>
          <cell r="C144">
            <v>27283.1</v>
          </cell>
          <cell r="D144">
            <v>27213.690350687299</v>
          </cell>
        </row>
        <row r="145">
          <cell r="B145" t="str">
            <v>Q2/2021</v>
          </cell>
          <cell r="C145">
            <v>26346.799999999999</v>
          </cell>
          <cell r="D145">
            <v>27430.42295189065</v>
          </cell>
        </row>
        <row r="146">
          <cell r="B146" t="str">
            <v>Q3/2021</v>
          </cell>
          <cell r="C146">
            <v>25947.5</v>
          </cell>
          <cell r="D146">
            <v>26506.674070359099</v>
          </cell>
        </row>
        <row r="147">
          <cell r="B147" t="str">
            <v>Q4/2021</v>
          </cell>
          <cell r="C147">
            <v>25270.3</v>
          </cell>
          <cell r="D147">
            <v>26121.859698814176</v>
          </cell>
        </row>
        <row r="148">
          <cell r="B148" t="str">
            <v>Q1/2022</v>
          </cell>
          <cell r="C148">
            <v>24375.9</v>
          </cell>
          <cell r="D148">
            <v>25455.309159298089</v>
          </cell>
        </row>
        <row r="149">
          <cell r="B149" t="str">
            <v>Q2/2022</v>
          </cell>
          <cell r="C149">
            <v>23375.5</v>
          </cell>
          <cell r="D149">
            <v>24556.706338628581</v>
          </cell>
        </row>
        <row r="150">
          <cell r="B150" t="str">
            <v>Q3/2022</v>
          </cell>
          <cell r="C150">
            <v>25267.4</v>
          </cell>
          <cell r="D150">
            <v>23553.430022903187</v>
          </cell>
        </row>
        <row r="151">
          <cell r="B151" t="str">
            <v>Q4/2022</v>
          </cell>
          <cell r="C151">
            <v>25417.5</v>
          </cell>
          <cell r="D151">
            <v>25448.72143433903</v>
          </cell>
        </row>
        <row r="152">
          <cell r="B152" t="str">
            <v>Q1/2023</v>
          </cell>
          <cell r="C152">
            <v>25720.3</v>
          </cell>
          <cell r="D152">
            <v>25590.986591071323</v>
          </cell>
        </row>
        <row r="153">
          <cell r="B153" t="str">
            <v>Q2/2023</v>
          </cell>
          <cell r="C153">
            <v>25664</v>
          </cell>
          <cell r="D153">
            <v>25895.821356751367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xfordeconomics.com/resource/wheat-prices-soften-in-2024-but-risks-tilted-to-the-upside/" TargetMode="External"/><Relationship Id="rId2" Type="http://schemas.openxmlformats.org/officeDocument/2006/relationships/hyperlink" Target="https://www.macrotrends.net/2534/wheat-prices-historical-chart-data" TargetMode="External"/><Relationship Id="rId1" Type="http://schemas.openxmlformats.org/officeDocument/2006/relationships/hyperlink" Target="https://nhandan.vn/gia-lua-mi-giam-5-ngay-lien-tiep-post812739.html" TargetMode="External"/><Relationship Id="rId5" Type="http://schemas.openxmlformats.org/officeDocument/2006/relationships/drawing" Target="../drawings/drawing11.xml"/><Relationship Id="rId4"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xfordeconomics.com/resource/wheat-prices-soften-in-2024-but-risks-tilted-to-the-upside/" TargetMode="External"/><Relationship Id="rId2" Type="http://schemas.openxmlformats.org/officeDocument/2006/relationships/hyperlink" Target="https://www.macrotrends.net/2534/wheat-prices-historical-chart-data" TargetMode="External"/><Relationship Id="rId1" Type="http://schemas.openxmlformats.org/officeDocument/2006/relationships/hyperlink" Target="https://nhandan.vn/gia-lua-mi-giam-5-ngay-lien-tiep-post812739.html"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5FB74-40FD-48D8-A39B-F0DA9ED39510}">
  <dimension ref="A2:N22"/>
  <sheetViews>
    <sheetView workbookViewId="0">
      <selection activeCell="D18" sqref="D18"/>
    </sheetView>
  </sheetViews>
  <sheetFormatPr defaultColWidth="9" defaultRowHeight="14" x14ac:dyDescent="0.3"/>
  <cols>
    <col min="1" max="1" width="9" style="1"/>
    <col min="2" max="2" width="17.1796875" style="1" customWidth="1"/>
    <col min="3" max="6" width="17" style="1" customWidth="1"/>
    <col min="7" max="16384" width="9" style="1"/>
  </cols>
  <sheetData>
    <row r="2" spans="1:14" ht="47.25" customHeight="1" x14ac:dyDescent="0.3">
      <c r="B2" s="7" t="s">
        <v>0</v>
      </c>
      <c r="C2" s="11">
        <v>25100</v>
      </c>
    </row>
    <row r="3" spans="1:14" x14ac:dyDescent="0.3">
      <c r="D3" s="25"/>
    </row>
    <row r="4" spans="1:14" ht="33.75" customHeight="1" x14ac:dyDescent="0.3">
      <c r="A4" s="2"/>
      <c r="B4" s="2" t="s">
        <v>1</v>
      </c>
      <c r="C4" s="3" t="s">
        <v>2</v>
      </c>
      <c r="D4" s="4" t="s">
        <v>3</v>
      </c>
      <c r="E4" s="5" t="s">
        <v>4</v>
      </c>
      <c r="F4" s="6" t="s">
        <v>5</v>
      </c>
    </row>
    <row r="5" spans="1:14" ht="21" customHeight="1" x14ac:dyDescent="0.3">
      <c r="A5" s="2" t="s">
        <v>6</v>
      </c>
      <c r="B5" s="7" t="s">
        <v>7</v>
      </c>
      <c r="C5" s="11">
        <v>402000</v>
      </c>
      <c r="D5" s="11">
        <v>3718000</v>
      </c>
      <c r="E5" s="11">
        <v>1619000</v>
      </c>
      <c r="F5" s="11">
        <v>1133000</v>
      </c>
    </row>
    <row r="6" spans="1:14" ht="21" customHeight="1" x14ac:dyDescent="0.3">
      <c r="A6" s="2" t="s">
        <v>6</v>
      </c>
      <c r="B6" s="7" t="s">
        <v>8</v>
      </c>
      <c r="C6" s="2">
        <v>11.2</v>
      </c>
      <c r="D6" s="2">
        <v>4.7</v>
      </c>
      <c r="E6" s="2">
        <v>4.9000000000000004</v>
      </c>
      <c r="F6" s="2">
        <v>5.3</v>
      </c>
    </row>
    <row r="7" spans="1:14" ht="75.75" customHeight="1" x14ac:dyDescent="0.3">
      <c r="A7" s="2" t="s">
        <v>6</v>
      </c>
      <c r="B7" s="8" t="s">
        <v>9</v>
      </c>
      <c r="C7" s="9">
        <v>0.25</v>
      </c>
      <c r="D7" s="9">
        <f>C7</f>
        <v>0.25</v>
      </c>
      <c r="E7" s="9">
        <f>D7</f>
        <v>0.25</v>
      </c>
      <c r="F7" s="9">
        <f>E7</f>
        <v>0.25</v>
      </c>
    </row>
    <row r="8" spans="1:14" ht="18.75" customHeight="1" x14ac:dyDescent="0.3">
      <c r="A8" s="2" t="s">
        <v>6</v>
      </c>
      <c r="B8" s="7" t="s">
        <v>10</v>
      </c>
      <c r="C8" s="2">
        <v>0.11</v>
      </c>
      <c r="D8" s="2">
        <v>0.05</v>
      </c>
      <c r="E8" s="2">
        <v>7.0000000000000007E-2</v>
      </c>
      <c r="F8" s="2">
        <v>0.1</v>
      </c>
      <c r="N8" s="1" t="s">
        <v>11</v>
      </c>
    </row>
    <row r="9" spans="1:14" ht="18.75" customHeight="1" x14ac:dyDescent="0.3">
      <c r="A9" s="2" t="s">
        <v>6</v>
      </c>
      <c r="B9" s="7" t="s">
        <v>12</v>
      </c>
      <c r="C9" s="2">
        <v>1</v>
      </c>
      <c r="D9" s="2">
        <v>1.5</v>
      </c>
      <c r="E9" s="2">
        <v>1.2</v>
      </c>
      <c r="F9" s="2">
        <v>1</v>
      </c>
    </row>
    <row r="10" spans="1:14" ht="18.75" customHeight="1" x14ac:dyDescent="0.3">
      <c r="A10" s="2" t="s">
        <v>6</v>
      </c>
      <c r="B10" s="7" t="s">
        <v>13</v>
      </c>
      <c r="C10" s="2">
        <v>4.58</v>
      </c>
      <c r="D10" s="2">
        <v>2.35</v>
      </c>
      <c r="E10" s="2">
        <v>2.52</v>
      </c>
      <c r="F10" s="2">
        <v>2.48</v>
      </c>
    </row>
    <row r="11" spans="1:14" ht="33" customHeight="1" x14ac:dyDescent="0.3">
      <c r="A11" s="2" t="s">
        <v>14</v>
      </c>
      <c r="B11" s="8" t="s">
        <v>15</v>
      </c>
      <c r="C11" s="9">
        <v>0.7</v>
      </c>
      <c r="D11" s="9">
        <v>0.65</v>
      </c>
      <c r="E11" s="9">
        <v>0.65</v>
      </c>
      <c r="F11" s="9">
        <v>0.65</v>
      </c>
    </row>
    <row r="12" spans="1:14" x14ac:dyDescent="0.3">
      <c r="A12" s="2" t="str">
        <f>A11</f>
        <v>% COGS</v>
      </c>
      <c r="B12" s="7" t="s">
        <v>16</v>
      </c>
      <c r="C12" s="9">
        <v>0.3</v>
      </c>
      <c r="D12" s="9">
        <v>0.35</v>
      </c>
      <c r="E12" s="9">
        <f>D12</f>
        <v>0.35</v>
      </c>
      <c r="F12" s="9">
        <f>E12</f>
        <v>0.35</v>
      </c>
    </row>
    <row r="13" spans="1:14" ht="36" customHeight="1" x14ac:dyDescent="0.3">
      <c r="A13" s="2" t="s">
        <v>6</v>
      </c>
      <c r="B13" s="8" t="s">
        <v>17</v>
      </c>
      <c r="C13" s="369" t="s">
        <v>18</v>
      </c>
      <c r="D13" s="369"/>
      <c r="E13" s="369"/>
      <c r="F13" s="369"/>
    </row>
    <row r="14" spans="1:14" ht="42" customHeight="1" x14ac:dyDescent="0.3">
      <c r="A14" s="2" t="s">
        <v>6</v>
      </c>
      <c r="B14" s="8" t="s">
        <v>19</v>
      </c>
      <c r="C14" s="9">
        <v>0.1</v>
      </c>
      <c r="D14" s="9">
        <f>C14</f>
        <v>0.1</v>
      </c>
      <c r="E14" s="9">
        <f t="shared" ref="E14:F14" si="0">D14</f>
        <v>0.1</v>
      </c>
      <c r="F14" s="9">
        <f t="shared" si="0"/>
        <v>0.1</v>
      </c>
      <c r="G14" s="10"/>
    </row>
    <row r="15" spans="1:14" ht="42" x14ac:dyDescent="0.3">
      <c r="A15" s="2" t="s">
        <v>6</v>
      </c>
      <c r="B15" s="8" t="s">
        <v>20</v>
      </c>
      <c r="C15" s="9">
        <f>C14</f>
        <v>0.1</v>
      </c>
      <c r="D15" s="9">
        <f t="shared" ref="D15:F15" si="1">D14</f>
        <v>0.1</v>
      </c>
      <c r="E15" s="9">
        <f t="shared" si="1"/>
        <v>0.1</v>
      </c>
      <c r="F15" s="9">
        <f t="shared" si="1"/>
        <v>0.1</v>
      </c>
    </row>
    <row r="16" spans="1:14" x14ac:dyDescent="0.3">
      <c r="C16" s="317">
        <f>C5*C6</f>
        <v>4502400</v>
      </c>
    </row>
    <row r="17" spans="3:4" x14ac:dyDescent="0.3">
      <c r="C17" s="317">
        <f>C5*C10</f>
        <v>1841160</v>
      </c>
    </row>
    <row r="18" spans="3:4" x14ac:dyDescent="0.3">
      <c r="C18" s="1">
        <f>C16/C17</f>
        <v>2.445414847161572</v>
      </c>
      <c r="D18" s="1">
        <f>'NPV Modelling'!I15/'NPV Modelling'!I54</f>
        <v>2.4454148471615715</v>
      </c>
    </row>
    <row r="19" spans="3:4" x14ac:dyDescent="0.3">
      <c r="C19" s="317">
        <f>C16-C17</f>
        <v>2661240</v>
      </c>
    </row>
    <row r="20" spans="3:4" x14ac:dyDescent="0.3">
      <c r="C20" s="317">
        <f>C7*C16</f>
        <v>1125600</v>
      </c>
    </row>
    <row r="21" spans="3:4" x14ac:dyDescent="0.3">
      <c r="C21" s="317">
        <f>C19-C20</f>
        <v>1535640</v>
      </c>
    </row>
    <row r="22" spans="3:4" x14ac:dyDescent="0.3">
      <c r="C22" s="317">
        <f>C21-C17</f>
        <v>-305520</v>
      </c>
    </row>
  </sheetData>
  <mergeCells count="1">
    <mergeCell ref="C13:F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43E7F-5E6A-4582-A3B2-6229546712D0}">
  <dimension ref="A2:G6"/>
  <sheetViews>
    <sheetView workbookViewId="0">
      <selection activeCell="F32" sqref="F32"/>
    </sheetView>
  </sheetViews>
  <sheetFormatPr defaultRowHeight="14.5" x14ac:dyDescent="0.35"/>
  <cols>
    <col min="1" max="1" width="28" customWidth="1"/>
    <col min="2" max="7" width="10.54296875" bestFit="1" customWidth="1"/>
  </cols>
  <sheetData>
    <row r="2" spans="1:7" x14ac:dyDescent="0.35">
      <c r="B2">
        <v>2019</v>
      </c>
      <c r="C2">
        <v>2020</v>
      </c>
      <c r="D2">
        <v>2021</v>
      </c>
      <c r="E2">
        <v>2022</v>
      </c>
      <c r="F2">
        <v>2023</v>
      </c>
      <c r="G2">
        <v>2024</v>
      </c>
    </row>
    <row r="3" spans="1:7" x14ac:dyDescent="0.35">
      <c r="A3" t="s">
        <v>541</v>
      </c>
      <c r="B3" s="29">
        <v>36561</v>
      </c>
      <c r="C3" s="29">
        <v>36102.5</v>
      </c>
      <c r="D3" s="29">
        <v>38241.300000000003</v>
      </c>
      <c r="E3" s="29">
        <v>39134.9</v>
      </c>
      <c r="F3" s="29">
        <v>41302.5</v>
      </c>
      <c r="G3" s="29">
        <v>42275.199999999997</v>
      </c>
    </row>
    <row r="4" spans="1:7" x14ac:dyDescent="0.35">
      <c r="A4" t="s">
        <v>542</v>
      </c>
      <c r="B4" s="29">
        <v>22010</v>
      </c>
      <c r="C4" s="29">
        <v>22936</v>
      </c>
      <c r="D4" s="29">
        <v>21823.599999999999</v>
      </c>
      <c r="E4" s="29">
        <v>24138.2</v>
      </c>
      <c r="F4" s="29">
        <v>25743.9</v>
      </c>
      <c r="G4" s="29">
        <v>26600.1</v>
      </c>
    </row>
    <row r="5" spans="1:7" ht="15.5" x14ac:dyDescent="0.35">
      <c r="A5" s="37" t="s">
        <v>543</v>
      </c>
      <c r="B5" s="34">
        <v>3.19</v>
      </c>
      <c r="C5" s="34">
        <v>3.15</v>
      </c>
      <c r="D5" s="34">
        <v>3.39</v>
      </c>
      <c r="E5" s="34">
        <v>3.4</v>
      </c>
      <c r="F5" s="34">
        <v>3.62</v>
      </c>
      <c r="G5" s="34">
        <v>3.89</v>
      </c>
    </row>
    <row r="6" spans="1:7" x14ac:dyDescent="0.35">
      <c r="A6" t="s">
        <v>340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5E479-800C-41E2-96DC-1BB8BC48C962}">
  <dimension ref="A1:AB38"/>
  <sheetViews>
    <sheetView topLeftCell="D7" workbookViewId="0">
      <selection activeCell="M34" sqref="M34"/>
    </sheetView>
  </sheetViews>
  <sheetFormatPr defaultRowHeight="12.5" x14ac:dyDescent="0.35"/>
  <cols>
    <col min="1" max="1" width="12.1796875" style="279" customWidth="1"/>
    <col min="2" max="2" width="36" style="279" customWidth="1"/>
    <col min="3" max="3" width="26.453125" style="279" customWidth="1"/>
    <col min="4" max="4" width="13.7265625" style="279" customWidth="1"/>
    <col min="5" max="10" width="6.81640625" style="279" customWidth="1"/>
    <col min="11" max="256" width="9" style="279"/>
    <col min="257" max="257" width="12.1796875" style="279" customWidth="1"/>
    <col min="258" max="258" width="36" style="279" customWidth="1"/>
    <col min="259" max="259" width="26.453125" style="279" customWidth="1"/>
    <col min="260" max="260" width="13.7265625" style="279" customWidth="1"/>
    <col min="261" max="266" width="6.81640625" style="279" customWidth="1"/>
    <col min="267" max="512" width="9" style="279"/>
    <col min="513" max="513" width="12.1796875" style="279" customWidth="1"/>
    <col min="514" max="514" width="36" style="279" customWidth="1"/>
    <col min="515" max="515" width="26.453125" style="279" customWidth="1"/>
    <col min="516" max="516" width="13.7265625" style="279" customWidth="1"/>
    <col min="517" max="522" width="6.81640625" style="279" customWidth="1"/>
    <col min="523" max="768" width="9" style="279"/>
    <col min="769" max="769" width="12.1796875" style="279" customWidth="1"/>
    <col min="770" max="770" width="36" style="279" customWidth="1"/>
    <col min="771" max="771" width="26.453125" style="279" customWidth="1"/>
    <col min="772" max="772" width="13.7265625" style="279" customWidth="1"/>
    <col min="773" max="778" width="6.81640625" style="279" customWidth="1"/>
    <col min="779" max="1024" width="9" style="279"/>
    <col min="1025" max="1025" width="12.1796875" style="279" customWidth="1"/>
    <col min="1026" max="1026" width="36" style="279" customWidth="1"/>
    <col min="1027" max="1027" width="26.453125" style="279" customWidth="1"/>
    <col min="1028" max="1028" width="13.7265625" style="279" customWidth="1"/>
    <col min="1029" max="1034" width="6.81640625" style="279" customWidth="1"/>
    <col min="1035" max="1280" width="9" style="279"/>
    <col min="1281" max="1281" width="12.1796875" style="279" customWidth="1"/>
    <col min="1282" max="1282" width="36" style="279" customWidth="1"/>
    <col min="1283" max="1283" width="26.453125" style="279" customWidth="1"/>
    <col min="1284" max="1284" width="13.7265625" style="279" customWidth="1"/>
    <col min="1285" max="1290" width="6.81640625" style="279" customWidth="1"/>
    <col min="1291" max="1536" width="9" style="279"/>
    <col min="1537" max="1537" width="12.1796875" style="279" customWidth="1"/>
    <col min="1538" max="1538" width="36" style="279" customWidth="1"/>
    <col min="1539" max="1539" width="26.453125" style="279" customWidth="1"/>
    <col min="1540" max="1540" width="13.7265625" style="279" customWidth="1"/>
    <col min="1541" max="1546" width="6.81640625" style="279" customWidth="1"/>
    <col min="1547" max="1792" width="9" style="279"/>
    <col min="1793" max="1793" width="12.1796875" style="279" customWidth="1"/>
    <col min="1794" max="1794" width="36" style="279" customWidth="1"/>
    <col min="1795" max="1795" width="26.453125" style="279" customWidth="1"/>
    <col min="1796" max="1796" width="13.7265625" style="279" customWidth="1"/>
    <col min="1797" max="1802" width="6.81640625" style="279" customWidth="1"/>
    <col min="1803" max="2048" width="9" style="279"/>
    <col min="2049" max="2049" width="12.1796875" style="279" customWidth="1"/>
    <col min="2050" max="2050" width="36" style="279" customWidth="1"/>
    <col min="2051" max="2051" width="26.453125" style="279" customWidth="1"/>
    <col min="2052" max="2052" width="13.7265625" style="279" customWidth="1"/>
    <col min="2053" max="2058" width="6.81640625" style="279" customWidth="1"/>
    <col min="2059" max="2304" width="9" style="279"/>
    <col min="2305" max="2305" width="12.1796875" style="279" customWidth="1"/>
    <col min="2306" max="2306" width="36" style="279" customWidth="1"/>
    <col min="2307" max="2307" width="26.453125" style="279" customWidth="1"/>
    <col min="2308" max="2308" width="13.7265625" style="279" customWidth="1"/>
    <col min="2309" max="2314" width="6.81640625" style="279" customWidth="1"/>
    <col min="2315" max="2560" width="9" style="279"/>
    <col min="2561" max="2561" width="12.1796875" style="279" customWidth="1"/>
    <col min="2562" max="2562" width="36" style="279" customWidth="1"/>
    <col min="2563" max="2563" width="26.453125" style="279" customWidth="1"/>
    <col min="2564" max="2564" width="13.7265625" style="279" customWidth="1"/>
    <col min="2565" max="2570" width="6.81640625" style="279" customWidth="1"/>
    <col min="2571" max="2816" width="9" style="279"/>
    <col min="2817" max="2817" width="12.1796875" style="279" customWidth="1"/>
    <col min="2818" max="2818" width="36" style="279" customWidth="1"/>
    <col min="2819" max="2819" width="26.453125" style="279" customWidth="1"/>
    <col min="2820" max="2820" width="13.7265625" style="279" customWidth="1"/>
    <col min="2821" max="2826" width="6.81640625" style="279" customWidth="1"/>
    <col min="2827" max="3072" width="9" style="279"/>
    <col min="3073" max="3073" width="12.1796875" style="279" customWidth="1"/>
    <col min="3074" max="3074" width="36" style="279" customWidth="1"/>
    <col min="3075" max="3075" width="26.453125" style="279" customWidth="1"/>
    <col min="3076" max="3076" width="13.7265625" style="279" customWidth="1"/>
    <col min="3077" max="3082" width="6.81640625" style="279" customWidth="1"/>
    <col min="3083" max="3328" width="9" style="279"/>
    <col min="3329" max="3329" width="12.1796875" style="279" customWidth="1"/>
    <col min="3330" max="3330" width="36" style="279" customWidth="1"/>
    <col min="3331" max="3331" width="26.453125" style="279" customWidth="1"/>
    <col min="3332" max="3332" width="13.7265625" style="279" customWidth="1"/>
    <col min="3333" max="3338" width="6.81640625" style="279" customWidth="1"/>
    <col min="3339" max="3584" width="9" style="279"/>
    <col min="3585" max="3585" width="12.1796875" style="279" customWidth="1"/>
    <col min="3586" max="3586" width="36" style="279" customWidth="1"/>
    <col min="3587" max="3587" width="26.453125" style="279" customWidth="1"/>
    <col min="3588" max="3588" width="13.7265625" style="279" customWidth="1"/>
    <col min="3589" max="3594" width="6.81640625" style="279" customWidth="1"/>
    <col min="3595" max="3840" width="9" style="279"/>
    <col min="3841" max="3841" width="12.1796875" style="279" customWidth="1"/>
    <col min="3842" max="3842" width="36" style="279" customWidth="1"/>
    <col min="3843" max="3843" width="26.453125" style="279" customWidth="1"/>
    <col min="3844" max="3844" width="13.7265625" style="279" customWidth="1"/>
    <col min="3845" max="3850" width="6.81640625" style="279" customWidth="1"/>
    <col min="3851" max="4096" width="9" style="279"/>
    <col min="4097" max="4097" width="12.1796875" style="279" customWidth="1"/>
    <col min="4098" max="4098" width="36" style="279" customWidth="1"/>
    <col min="4099" max="4099" width="26.453125" style="279" customWidth="1"/>
    <col min="4100" max="4100" width="13.7265625" style="279" customWidth="1"/>
    <col min="4101" max="4106" width="6.81640625" style="279" customWidth="1"/>
    <col min="4107" max="4352" width="9" style="279"/>
    <col min="4353" max="4353" width="12.1796875" style="279" customWidth="1"/>
    <col min="4354" max="4354" width="36" style="279" customWidth="1"/>
    <col min="4355" max="4355" width="26.453125" style="279" customWidth="1"/>
    <col min="4356" max="4356" width="13.7265625" style="279" customWidth="1"/>
    <col min="4357" max="4362" width="6.81640625" style="279" customWidth="1"/>
    <col min="4363" max="4608" width="9" style="279"/>
    <col min="4609" max="4609" width="12.1796875" style="279" customWidth="1"/>
    <col min="4610" max="4610" width="36" style="279" customWidth="1"/>
    <col min="4611" max="4611" width="26.453125" style="279" customWidth="1"/>
    <col min="4612" max="4612" width="13.7265625" style="279" customWidth="1"/>
    <col min="4613" max="4618" width="6.81640625" style="279" customWidth="1"/>
    <col min="4619" max="4864" width="9" style="279"/>
    <col min="4865" max="4865" width="12.1796875" style="279" customWidth="1"/>
    <col min="4866" max="4866" width="36" style="279" customWidth="1"/>
    <col min="4867" max="4867" width="26.453125" style="279" customWidth="1"/>
    <col min="4868" max="4868" width="13.7265625" style="279" customWidth="1"/>
    <col min="4869" max="4874" width="6.81640625" style="279" customWidth="1"/>
    <col min="4875" max="5120" width="9" style="279"/>
    <col min="5121" max="5121" width="12.1796875" style="279" customWidth="1"/>
    <col min="5122" max="5122" width="36" style="279" customWidth="1"/>
    <col min="5123" max="5123" width="26.453125" style="279" customWidth="1"/>
    <col min="5124" max="5124" width="13.7265625" style="279" customWidth="1"/>
    <col min="5125" max="5130" width="6.81640625" style="279" customWidth="1"/>
    <col min="5131" max="5376" width="9" style="279"/>
    <col min="5377" max="5377" width="12.1796875" style="279" customWidth="1"/>
    <col min="5378" max="5378" width="36" style="279" customWidth="1"/>
    <col min="5379" max="5379" width="26.453125" style="279" customWidth="1"/>
    <col min="5380" max="5380" width="13.7265625" style="279" customWidth="1"/>
    <col min="5381" max="5386" width="6.81640625" style="279" customWidth="1"/>
    <col min="5387" max="5632" width="9" style="279"/>
    <col min="5633" max="5633" width="12.1796875" style="279" customWidth="1"/>
    <col min="5634" max="5634" width="36" style="279" customWidth="1"/>
    <col min="5635" max="5635" width="26.453125" style="279" customWidth="1"/>
    <col min="5636" max="5636" width="13.7265625" style="279" customWidth="1"/>
    <col min="5637" max="5642" width="6.81640625" style="279" customWidth="1"/>
    <col min="5643" max="5888" width="9" style="279"/>
    <col min="5889" max="5889" width="12.1796875" style="279" customWidth="1"/>
    <col min="5890" max="5890" width="36" style="279" customWidth="1"/>
    <col min="5891" max="5891" width="26.453125" style="279" customWidth="1"/>
    <col min="5892" max="5892" width="13.7265625" style="279" customWidth="1"/>
    <col min="5893" max="5898" width="6.81640625" style="279" customWidth="1"/>
    <col min="5899" max="6144" width="9" style="279"/>
    <col min="6145" max="6145" width="12.1796875" style="279" customWidth="1"/>
    <col min="6146" max="6146" width="36" style="279" customWidth="1"/>
    <col min="6147" max="6147" width="26.453125" style="279" customWidth="1"/>
    <col min="6148" max="6148" width="13.7265625" style="279" customWidth="1"/>
    <col min="6149" max="6154" width="6.81640625" style="279" customWidth="1"/>
    <col min="6155" max="6400" width="9" style="279"/>
    <col min="6401" max="6401" width="12.1796875" style="279" customWidth="1"/>
    <col min="6402" max="6402" width="36" style="279" customWidth="1"/>
    <col min="6403" max="6403" width="26.453125" style="279" customWidth="1"/>
    <col min="6404" max="6404" width="13.7265625" style="279" customWidth="1"/>
    <col min="6405" max="6410" width="6.81640625" style="279" customWidth="1"/>
    <col min="6411" max="6656" width="9" style="279"/>
    <col min="6657" max="6657" width="12.1796875" style="279" customWidth="1"/>
    <col min="6658" max="6658" width="36" style="279" customWidth="1"/>
    <col min="6659" max="6659" width="26.453125" style="279" customWidth="1"/>
    <col min="6660" max="6660" width="13.7265625" style="279" customWidth="1"/>
    <col min="6661" max="6666" width="6.81640625" style="279" customWidth="1"/>
    <col min="6667" max="6912" width="9" style="279"/>
    <col min="6913" max="6913" width="12.1796875" style="279" customWidth="1"/>
    <col min="6914" max="6914" width="36" style="279" customWidth="1"/>
    <col min="6915" max="6915" width="26.453125" style="279" customWidth="1"/>
    <col min="6916" max="6916" width="13.7265625" style="279" customWidth="1"/>
    <col min="6917" max="6922" width="6.81640625" style="279" customWidth="1"/>
    <col min="6923" max="7168" width="9" style="279"/>
    <col min="7169" max="7169" width="12.1796875" style="279" customWidth="1"/>
    <col min="7170" max="7170" width="36" style="279" customWidth="1"/>
    <col min="7171" max="7171" width="26.453125" style="279" customWidth="1"/>
    <col min="7172" max="7172" width="13.7265625" style="279" customWidth="1"/>
    <col min="7173" max="7178" width="6.81640625" style="279" customWidth="1"/>
    <col min="7179" max="7424" width="9" style="279"/>
    <col min="7425" max="7425" width="12.1796875" style="279" customWidth="1"/>
    <col min="7426" max="7426" width="36" style="279" customWidth="1"/>
    <col min="7427" max="7427" width="26.453125" style="279" customWidth="1"/>
    <col min="7428" max="7428" width="13.7265625" style="279" customWidth="1"/>
    <col min="7429" max="7434" width="6.81640625" style="279" customWidth="1"/>
    <col min="7435" max="7680" width="9" style="279"/>
    <col min="7681" max="7681" width="12.1796875" style="279" customWidth="1"/>
    <col min="7682" max="7682" width="36" style="279" customWidth="1"/>
    <col min="7683" max="7683" width="26.453125" style="279" customWidth="1"/>
    <col min="7684" max="7684" width="13.7265625" style="279" customWidth="1"/>
    <col min="7685" max="7690" width="6.81640625" style="279" customWidth="1"/>
    <col min="7691" max="7936" width="9" style="279"/>
    <col min="7937" max="7937" width="12.1796875" style="279" customWidth="1"/>
    <col min="7938" max="7938" width="36" style="279" customWidth="1"/>
    <col min="7939" max="7939" width="26.453125" style="279" customWidth="1"/>
    <col min="7940" max="7940" width="13.7265625" style="279" customWidth="1"/>
    <col min="7941" max="7946" width="6.81640625" style="279" customWidth="1"/>
    <col min="7947" max="8192" width="9" style="279"/>
    <col min="8193" max="8193" width="12.1796875" style="279" customWidth="1"/>
    <col min="8194" max="8194" width="36" style="279" customWidth="1"/>
    <col min="8195" max="8195" width="26.453125" style="279" customWidth="1"/>
    <col min="8196" max="8196" width="13.7265625" style="279" customWidth="1"/>
    <col min="8197" max="8202" width="6.81640625" style="279" customWidth="1"/>
    <col min="8203" max="8448" width="9" style="279"/>
    <col min="8449" max="8449" width="12.1796875" style="279" customWidth="1"/>
    <col min="8450" max="8450" width="36" style="279" customWidth="1"/>
    <col min="8451" max="8451" width="26.453125" style="279" customWidth="1"/>
    <col min="8452" max="8452" width="13.7265625" style="279" customWidth="1"/>
    <col min="8453" max="8458" width="6.81640625" style="279" customWidth="1"/>
    <col min="8459" max="8704" width="9" style="279"/>
    <col min="8705" max="8705" width="12.1796875" style="279" customWidth="1"/>
    <col min="8706" max="8706" width="36" style="279" customWidth="1"/>
    <col min="8707" max="8707" width="26.453125" style="279" customWidth="1"/>
    <col min="8708" max="8708" width="13.7265625" style="279" customWidth="1"/>
    <col min="8709" max="8714" width="6.81640625" style="279" customWidth="1"/>
    <col min="8715" max="8960" width="9" style="279"/>
    <col min="8961" max="8961" width="12.1796875" style="279" customWidth="1"/>
    <col min="8962" max="8962" width="36" style="279" customWidth="1"/>
    <col min="8963" max="8963" width="26.453125" style="279" customWidth="1"/>
    <col min="8964" max="8964" width="13.7265625" style="279" customWidth="1"/>
    <col min="8965" max="8970" width="6.81640625" style="279" customWidth="1"/>
    <col min="8971" max="9216" width="9" style="279"/>
    <col min="9217" max="9217" width="12.1796875" style="279" customWidth="1"/>
    <col min="9218" max="9218" width="36" style="279" customWidth="1"/>
    <col min="9219" max="9219" width="26.453125" style="279" customWidth="1"/>
    <col min="9220" max="9220" width="13.7265625" style="279" customWidth="1"/>
    <col min="9221" max="9226" width="6.81640625" style="279" customWidth="1"/>
    <col min="9227" max="9472" width="9" style="279"/>
    <col min="9473" max="9473" width="12.1796875" style="279" customWidth="1"/>
    <col min="9474" max="9474" width="36" style="279" customWidth="1"/>
    <col min="9475" max="9475" width="26.453125" style="279" customWidth="1"/>
    <col min="9476" max="9476" width="13.7265625" style="279" customWidth="1"/>
    <col min="9477" max="9482" width="6.81640625" style="279" customWidth="1"/>
    <col min="9483" max="9728" width="9" style="279"/>
    <col min="9729" max="9729" width="12.1796875" style="279" customWidth="1"/>
    <col min="9730" max="9730" width="36" style="279" customWidth="1"/>
    <col min="9731" max="9731" width="26.453125" style="279" customWidth="1"/>
    <col min="9732" max="9732" width="13.7265625" style="279" customWidth="1"/>
    <col min="9733" max="9738" width="6.81640625" style="279" customWidth="1"/>
    <col min="9739" max="9984" width="9" style="279"/>
    <col min="9985" max="9985" width="12.1796875" style="279" customWidth="1"/>
    <col min="9986" max="9986" width="36" style="279" customWidth="1"/>
    <col min="9987" max="9987" width="26.453125" style="279" customWidth="1"/>
    <col min="9988" max="9988" width="13.7265625" style="279" customWidth="1"/>
    <col min="9989" max="9994" width="6.81640625" style="279" customWidth="1"/>
    <col min="9995" max="10240" width="9" style="279"/>
    <col min="10241" max="10241" width="12.1796875" style="279" customWidth="1"/>
    <col min="10242" max="10242" width="36" style="279" customWidth="1"/>
    <col min="10243" max="10243" width="26.453125" style="279" customWidth="1"/>
    <col min="10244" max="10244" width="13.7265625" style="279" customWidth="1"/>
    <col min="10245" max="10250" width="6.81640625" style="279" customWidth="1"/>
    <col min="10251" max="10496" width="9" style="279"/>
    <col min="10497" max="10497" width="12.1796875" style="279" customWidth="1"/>
    <col min="10498" max="10498" width="36" style="279" customWidth="1"/>
    <col min="10499" max="10499" width="26.453125" style="279" customWidth="1"/>
    <col min="10500" max="10500" width="13.7265625" style="279" customWidth="1"/>
    <col min="10501" max="10506" width="6.81640625" style="279" customWidth="1"/>
    <col min="10507" max="10752" width="9" style="279"/>
    <col min="10753" max="10753" width="12.1796875" style="279" customWidth="1"/>
    <col min="10754" max="10754" width="36" style="279" customWidth="1"/>
    <col min="10755" max="10755" width="26.453125" style="279" customWidth="1"/>
    <col min="10756" max="10756" width="13.7265625" style="279" customWidth="1"/>
    <col min="10757" max="10762" width="6.81640625" style="279" customWidth="1"/>
    <col min="10763" max="11008" width="9" style="279"/>
    <col min="11009" max="11009" width="12.1796875" style="279" customWidth="1"/>
    <col min="11010" max="11010" width="36" style="279" customWidth="1"/>
    <col min="11011" max="11011" width="26.453125" style="279" customWidth="1"/>
    <col min="11012" max="11012" width="13.7265625" style="279" customWidth="1"/>
    <col min="11013" max="11018" width="6.81640625" style="279" customWidth="1"/>
    <col min="11019" max="11264" width="9" style="279"/>
    <col min="11265" max="11265" width="12.1796875" style="279" customWidth="1"/>
    <col min="11266" max="11266" width="36" style="279" customWidth="1"/>
    <col min="11267" max="11267" width="26.453125" style="279" customWidth="1"/>
    <col min="11268" max="11268" width="13.7265625" style="279" customWidth="1"/>
    <col min="11269" max="11274" width="6.81640625" style="279" customWidth="1"/>
    <col min="11275" max="11520" width="9" style="279"/>
    <col min="11521" max="11521" width="12.1796875" style="279" customWidth="1"/>
    <col min="11522" max="11522" width="36" style="279" customWidth="1"/>
    <col min="11523" max="11523" width="26.453125" style="279" customWidth="1"/>
    <col min="11524" max="11524" width="13.7265625" style="279" customWidth="1"/>
    <col min="11525" max="11530" width="6.81640625" style="279" customWidth="1"/>
    <col min="11531" max="11776" width="9" style="279"/>
    <col min="11777" max="11777" width="12.1796875" style="279" customWidth="1"/>
    <col min="11778" max="11778" width="36" style="279" customWidth="1"/>
    <col min="11779" max="11779" width="26.453125" style="279" customWidth="1"/>
    <col min="11780" max="11780" width="13.7265625" style="279" customWidth="1"/>
    <col min="11781" max="11786" width="6.81640625" style="279" customWidth="1"/>
    <col min="11787" max="12032" width="9" style="279"/>
    <col min="12033" max="12033" width="12.1796875" style="279" customWidth="1"/>
    <col min="12034" max="12034" width="36" style="279" customWidth="1"/>
    <col min="12035" max="12035" width="26.453125" style="279" customWidth="1"/>
    <col min="12036" max="12036" width="13.7265625" style="279" customWidth="1"/>
    <col min="12037" max="12042" width="6.81640625" style="279" customWidth="1"/>
    <col min="12043" max="12288" width="9" style="279"/>
    <col min="12289" max="12289" width="12.1796875" style="279" customWidth="1"/>
    <col min="12290" max="12290" width="36" style="279" customWidth="1"/>
    <col min="12291" max="12291" width="26.453125" style="279" customWidth="1"/>
    <col min="12292" max="12292" width="13.7265625" style="279" customWidth="1"/>
    <col min="12293" max="12298" width="6.81640625" style="279" customWidth="1"/>
    <col min="12299" max="12544" width="9" style="279"/>
    <col min="12545" max="12545" width="12.1796875" style="279" customWidth="1"/>
    <col min="12546" max="12546" width="36" style="279" customWidth="1"/>
    <col min="12547" max="12547" width="26.453125" style="279" customWidth="1"/>
    <col min="12548" max="12548" width="13.7265625" style="279" customWidth="1"/>
    <col min="12549" max="12554" width="6.81640625" style="279" customWidth="1"/>
    <col min="12555" max="12800" width="9" style="279"/>
    <col min="12801" max="12801" width="12.1796875" style="279" customWidth="1"/>
    <col min="12802" max="12802" width="36" style="279" customWidth="1"/>
    <col min="12803" max="12803" width="26.453125" style="279" customWidth="1"/>
    <col min="12804" max="12804" width="13.7265625" style="279" customWidth="1"/>
    <col min="12805" max="12810" width="6.81640625" style="279" customWidth="1"/>
    <col min="12811" max="13056" width="9" style="279"/>
    <col min="13057" max="13057" width="12.1796875" style="279" customWidth="1"/>
    <col min="13058" max="13058" width="36" style="279" customWidth="1"/>
    <col min="13059" max="13059" width="26.453125" style="279" customWidth="1"/>
    <col min="13060" max="13060" width="13.7265625" style="279" customWidth="1"/>
    <col min="13061" max="13066" width="6.81640625" style="279" customWidth="1"/>
    <col min="13067" max="13312" width="9" style="279"/>
    <col min="13313" max="13313" width="12.1796875" style="279" customWidth="1"/>
    <col min="13314" max="13314" width="36" style="279" customWidth="1"/>
    <col min="13315" max="13315" width="26.453125" style="279" customWidth="1"/>
    <col min="13316" max="13316" width="13.7265625" style="279" customWidth="1"/>
    <col min="13317" max="13322" width="6.81640625" style="279" customWidth="1"/>
    <col min="13323" max="13568" width="9" style="279"/>
    <col min="13569" max="13569" width="12.1796875" style="279" customWidth="1"/>
    <col min="13570" max="13570" width="36" style="279" customWidth="1"/>
    <col min="13571" max="13571" width="26.453125" style="279" customWidth="1"/>
    <col min="13572" max="13572" width="13.7265625" style="279" customWidth="1"/>
    <col min="13573" max="13578" width="6.81640625" style="279" customWidth="1"/>
    <col min="13579" max="13824" width="9" style="279"/>
    <col min="13825" max="13825" width="12.1796875" style="279" customWidth="1"/>
    <col min="13826" max="13826" width="36" style="279" customWidth="1"/>
    <col min="13827" max="13827" width="26.453125" style="279" customWidth="1"/>
    <col min="13828" max="13828" width="13.7265625" style="279" customWidth="1"/>
    <col min="13829" max="13834" width="6.81640625" style="279" customWidth="1"/>
    <col min="13835" max="14080" width="9" style="279"/>
    <col min="14081" max="14081" width="12.1796875" style="279" customWidth="1"/>
    <col min="14082" max="14082" width="36" style="279" customWidth="1"/>
    <col min="14083" max="14083" width="26.453125" style="279" customWidth="1"/>
    <col min="14084" max="14084" width="13.7265625" style="279" customWidth="1"/>
    <col min="14085" max="14090" width="6.81640625" style="279" customWidth="1"/>
    <col min="14091" max="14336" width="9" style="279"/>
    <col min="14337" max="14337" width="12.1796875" style="279" customWidth="1"/>
    <col min="14338" max="14338" width="36" style="279" customWidth="1"/>
    <col min="14339" max="14339" width="26.453125" style="279" customWidth="1"/>
    <col min="14340" max="14340" width="13.7265625" style="279" customWidth="1"/>
    <col min="14341" max="14346" width="6.81640625" style="279" customWidth="1"/>
    <col min="14347" max="14592" width="9" style="279"/>
    <col min="14593" max="14593" width="12.1796875" style="279" customWidth="1"/>
    <col min="14594" max="14594" width="36" style="279" customWidth="1"/>
    <col min="14595" max="14595" width="26.453125" style="279" customWidth="1"/>
    <col min="14596" max="14596" width="13.7265625" style="279" customWidth="1"/>
    <col min="14597" max="14602" width="6.81640625" style="279" customWidth="1"/>
    <col min="14603" max="14848" width="9" style="279"/>
    <col min="14849" max="14849" width="12.1796875" style="279" customWidth="1"/>
    <col min="14850" max="14850" width="36" style="279" customWidth="1"/>
    <col min="14851" max="14851" width="26.453125" style="279" customWidth="1"/>
    <col min="14852" max="14852" width="13.7265625" style="279" customWidth="1"/>
    <col min="14853" max="14858" width="6.81640625" style="279" customWidth="1"/>
    <col min="14859" max="15104" width="9" style="279"/>
    <col min="15105" max="15105" width="12.1796875" style="279" customWidth="1"/>
    <col min="15106" max="15106" width="36" style="279" customWidth="1"/>
    <col min="15107" max="15107" width="26.453125" style="279" customWidth="1"/>
    <col min="15108" max="15108" width="13.7265625" style="279" customWidth="1"/>
    <col min="15109" max="15114" width="6.81640625" style="279" customWidth="1"/>
    <col min="15115" max="15360" width="9" style="279"/>
    <col min="15361" max="15361" width="12.1796875" style="279" customWidth="1"/>
    <col min="15362" max="15362" width="36" style="279" customWidth="1"/>
    <col min="15363" max="15363" width="26.453125" style="279" customWidth="1"/>
    <col min="15364" max="15364" width="13.7265625" style="279" customWidth="1"/>
    <col min="15365" max="15370" width="6.81640625" style="279" customWidth="1"/>
    <col min="15371" max="15616" width="9" style="279"/>
    <col min="15617" max="15617" width="12.1796875" style="279" customWidth="1"/>
    <col min="15618" max="15618" width="36" style="279" customWidth="1"/>
    <col min="15619" max="15619" width="26.453125" style="279" customWidth="1"/>
    <col min="15620" max="15620" width="13.7265625" style="279" customWidth="1"/>
    <col min="15621" max="15626" width="6.81640625" style="279" customWidth="1"/>
    <col min="15627" max="15872" width="9" style="279"/>
    <col min="15873" max="15873" width="12.1796875" style="279" customWidth="1"/>
    <col min="15874" max="15874" width="36" style="279" customWidth="1"/>
    <col min="15875" max="15875" width="26.453125" style="279" customWidth="1"/>
    <col min="15876" max="15876" width="13.7265625" style="279" customWidth="1"/>
    <col min="15877" max="15882" width="6.81640625" style="279" customWidth="1"/>
    <col min="15883" max="16128" width="9" style="279"/>
    <col min="16129" max="16129" width="12.1796875" style="279" customWidth="1"/>
    <col min="16130" max="16130" width="36" style="279" customWidth="1"/>
    <col min="16131" max="16131" width="26.453125" style="279" customWidth="1"/>
    <col min="16132" max="16132" width="13.7265625" style="279" customWidth="1"/>
    <col min="16133" max="16138" width="6.81640625" style="279" customWidth="1"/>
    <col min="16139" max="16384" width="9" style="279"/>
  </cols>
  <sheetData>
    <row r="1" spans="1:27" s="278" customFormat="1" ht="13" x14ac:dyDescent="0.35"/>
    <row r="2" spans="1:27" s="22" customFormat="1" ht="13" x14ac:dyDescent="0.35"/>
    <row r="3" spans="1:27" s="278" customFormat="1" ht="13" x14ac:dyDescent="0.35"/>
    <row r="4" spans="1:27" s="278" customFormat="1" ht="13" x14ac:dyDescent="0.35"/>
    <row r="5" spans="1:27" ht="13" x14ac:dyDescent="0.35">
      <c r="A5" s="278" t="s">
        <v>314</v>
      </c>
    </row>
    <row r="6" spans="1:27" s="280" customFormat="1" ht="13" x14ac:dyDescent="0.35">
      <c r="A6" s="15" t="s">
        <v>294</v>
      </c>
      <c r="B6" s="15" t="s">
        <v>295</v>
      </c>
      <c r="C6" s="15" t="s">
        <v>315</v>
      </c>
      <c r="D6" s="15" t="s">
        <v>296</v>
      </c>
      <c r="E6" s="15" t="s">
        <v>300</v>
      </c>
      <c r="F6" s="15" t="s">
        <v>301</v>
      </c>
      <c r="G6" s="15" t="s">
        <v>302</v>
      </c>
      <c r="H6" s="15" t="s">
        <v>303</v>
      </c>
      <c r="I6" s="15" t="s">
        <v>304</v>
      </c>
      <c r="J6" s="15" t="s">
        <v>305</v>
      </c>
    </row>
    <row r="7" spans="1:27" x14ac:dyDescent="0.35">
      <c r="A7" s="16" t="s">
        <v>261</v>
      </c>
      <c r="B7" s="19" t="s">
        <v>323</v>
      </c>
      <c r="C7" s="16" t="s">
        <v>324</v>
      </c>
      <c r="D7" s="16" t="s">
        <v>307</v>
      </c>
      <c r="E7" s="18">
        <v>20.3</v>
      </c>
      <c r="F7" s="18">
        <v>20.399999999999999</v>
      </c>
      <c r="G7" s="18">
        <v>20.2</v>
      </c>
      <c r="H7" s="18">
        <v>22.7</v>
      </c>
      <c r="I7" s="18">
        <v>23</v>
      </c>
      <c r="J7" s="18">
        <v>23</v>
      </c>
    </row>
    <row r="8" spans="1:27" ht="13" x14ac:dyDescent="0.35">
      <c r="A8" s="16" t="s">
        <v>261</v>
      </c>
      <c r="B8" s="19" t="s">
        <v>323</v>
      </c>
      <c r="C8" s="16" t="s">
        <v>325</v>
      </c>
      <c r="D8" s="16" t="s">
        <v>307</v>
      </c>
      <c r="E8" s="18">
        <v>21</v>
      </c>
      <c r="F8" s="18">
        <v>21</v>
      </c>
      <c r="G8" s="18">
        <v>21.2</v>
      </c>
      <c r="H8" s="18">
        <v>21.1</v>
      </c>
      <c r="I8" s="18">
        <v>21</v>
      </c>
      <c r="J8" s="18">
        <v>21.4</v>
      </c>
      <c r="P8" s="15" t="s">
        <v>294</v>
      </c>
      <c r="Q8" s="15" t="s">
        <v>295</v>
      </c>
      <c r="R8" s="15" t="s">
        <v>315</v>
      </c>
      <c r="S8" s="15" t="s">
        <v>296</v>
      </c>
      <c r="T8" s="15" t="s">
        <v>299</v>
      </c>
      <c r="U8" s="15" t="s">
        <v>300</v>
      </c>
      <c r="V8" s="15" t="s">
        <v>301</v>
      </c>
      <c r="W8" s="15" t="s">
        <v>302</v>
      </c>
      <c r="X8" s="15" t="s">
        <v>303</v>
      </c>
      <c r="Y8" s="15" t="s">
        <v>304</v>
      </c>
      <c r="Z8" s="15" t="s">
        <v>305</v>
      </c>
    </row>
    <row r="9" spans="1:27" x14ac:dyDescent="0.35">
      <c r="A9" s="16" t="s">
        <v>261</v>
      </c>
      <c r="B9" s="19" t="s">
        <v>323</v>
      </c>
      <c r="C9" s="16" t="s">
        <v>326</v>
      </c>
      <c r="D9" s="16" t="s">
        <v>307</v>
      </c>
      <c r="E9" s="18">
        <v>13.6</v>
      </c>
      <c r="F9" s="18">
        <v>13.3</v>
      </c>
      <c r="G9" s="18">
        <v>13.4</v>
      </c>
      <c r="H9" s="18">
        <v>12.9</v>
      </c>
      <c r="I9" s="18">
        <v>12.7</v>
      </c>
      <c r="J9" s="18">
        <v>12.6</v>
      </c>
      <c r="P9" s="16" t="s">
        <v>261</v>
      </c>
      <c r="Q9" s="19" t="s">
        <v>323</v>
      </c>
      <c r="R9" s="16" t="s">
        <v>324</v>
      </c>
      <c r="S9" s="16" t="s">
        <v>307</v>
      </c>
      <c r="T9" s="18">
        <v>21</v>
      </c>
      <c r="U9" s="18">
        <v>20.3</v>
      </c>
      <c r="V9" s="18">
        <v>20.399999999999999</v>
      </c>
      <c r="W9" s="18">
        <v>20.2</v>
      </c>
      <c r="X9" s="18">
        <v>22.7</v>
      </c>
      <c r="Y9" s="18">
        <v>23</v>
      </c>
      <c r="Z9" s="18">
        <v>23</v>
      </c>
    </row>
    <row r="10" spans="1:27" x14ac:dyDescent="0.35">
      <c r="A10" s="16" t="s">
        <v>261</v>
      </c>
      <c r="B10" s="19" t="s">
        <v>323</v>
      </c>
      <c r="C10" s="16" t="s">
        <v>327</v>
      </c>
      <c r="D10" s="16" t="s">
        <v>307</v>
      </c>
      <c r="E10" s="18">
        <v>5.7</v>
      </c>
      <c r="F10" s="18">
        <v>6.5</v>
      </c>
      <c r="G10" s="18">
        <v>7</v>
      </c>
      <c r="H10" s="18">
        <v>7.3</v>
      </c>
      <c r="I10" s="18">
        <v>7.4</v>
      </c>
      <c r="J10" s="18">
        <v>7.2</v>
      </c>
      <c r="P10" s="16" t="s">
        <v>261</v>
      </c>
      <c r="Q10" s="19" t="s">
        <v>323</v>
      </c>
      <c r="R10" s="16" t="s">
        <v>325</v>
      </c>
      <c r="S10" s="16" t="s">
        <v>307</v>
      </c>
      <c r="T10" s="18">
        <v>21.4</v>
      </c>
      <c r="U10" s="18">
        <v>21</v>
      </c>
      <c r="V10" s="18">
        <v>21</v>
      </c>
      <c r="W10" s="18">
        <v>21.2</v>
      </c>
      <c r="X10" s="18">
        <v>21.1</v>
      </c>
      <c r="Y10" s="18">
        <v>21</v>
      </c>
      <c r="Z10" s="18">
        <v>21.4</v>
      </c>
    </row>
    <row r="11" spans="1:27" x14ac:dyDescent="0.35">
      <c r="A11" s="16" t="s">
        <v>261</v>
      </c>
      <c r="B11" s="19" t="s">
        <v>323</v>
      </c>
      <c r="C11" s="16" t="s">
        <v>328</v>
      </c>
      <c r="D11" s="16" t="s">
        <v>307</v>
      </c>
      <c r="E11" s="18">
        <v>6</v>
      </c>
      <c r="F11" s="18">
        <v>5.2</v>
      </c>
      <c r="G11" s="18">
        <v>5.0999999999999996</v>
      </c>
      <c r="H11" s="18">
        <v>4.7</v>
      </c>
      <c r="I11" s="18">
        <v>4.7</v>
      </c>
      <c r="J11" s="18">
        <v>4.8</v>
      </c>
      <c r="P11" s="16" t="s">
        <v>261</v>
      </c>
      <c r="Q11" s="19" t="s">
        <v>323</v>
      </c>
      <c r="R11" s="16" t="s">
        <v>326</v>
      </c>
      <c r="S11" s="16" t="s">
        <v>307</v>
      </c>
      <c r="T11" s="18">
        <v>14</v>
      </c>
      <c r="U11" s="18">
        <v>13.6</v>
      </c>
      <c r="V11" s="18">
        <v>13.3</v>
      </c>
      <c r="W11" s="18">
        <v>13.4</v>
      </c>
      <c r="X11" s="18">
        <v>12.9</v>
      </c>
      <c r="Y11" s="18">
        <v>12.7</v>
      </c>
      <c r="Z11" s="18">
        <v>12.6</v>
      </c>
      <c r="AA11" s="283">
        <f>Z11/T11-1</f>
        <v>-9.9999999999999978E-2</v>
      </c>
    </row>
    <row r="12" spans="1:27" x14ac:dyDescent="0.35">
      <c r="P12" s="16" t="s">
        <v>261</v>
      </c>
      <c r="Q12" s="19" t="s">
        <v>323</v>
      </c>
      <c r="R12" s="16" t="s">
        <v>329</v>
      </c>
      <c r="S12" s="16" t="s">
        <v>307</v>
      </c>
      <c r="T12" s="18">
        <v>8.1</v>
      </c>
      <c r="U12" s="18">
        <v>8.1</v>
      </c>
      <c r="V12" s="18">
        <v>8.4</v>
      </c>
      <c r="W12" s="18">
        <v>8.9</v>
      </c>
      <c r="X12" s="18">
        <v>8.6999999999999993</v>
      </c>
      <c r="Y12" s="18">
        <v>8.6</v>
      </c>
      <c r="Z12" s="18">
        <v>8.6</v>
      </c>
      <c r="AA12" s="283">
        <f t="shared" ref="AA12:AA32" si="0">Z12/T12-1</f>
        <v>6.1728395061728447E-2</v>
      </c>
    </row>
    <row r="13" spans="1:27" ht="13" x14ac:dyDescent="0.35">
      <c r="A13" s="282" t="s">
        <v>310</v>
      </c>
      <c r="P13" s="16" t="s">
        <v>261</v>
      </c>
      <c r="Q13" s="19" t="s">
        <v>323</v>
      </c>
      <c r="R13" s="16" t="s">
        <v>327</v>
      </c>
      <c r="S13" s="16" t="s">
        <v>307</v>
      </c>
      <c r="T13" s="18">
        <v>2.9</v>
      </c>
      <c r="U13" s="18">
        <v>5.7</v>
      </c>
      <c r="V13" s="18">
        <v>6.5</v>
      </c>
      <c r="W13" s="18">
        <v>7</v>
      </c>
      <c r="X13" s="18">
        <v>7.3</v>
      </c>
      <c r="Y13" s="18">
        <v>7.4</v>
      </c>
      <c r="Z13" s="18">
        <v>7.2</v>
      </c>
      <c r="AA13" s="283">
        <f t="shared" si="0"/>
        <v>1.4827586206896552</v>
      </c>
    </row>
    <row r="14" spans="1:27" x14ac:dyDescent="0.35">
      <c r="A14" s="279" t="s">
        <v>311</v>
      </c>
      <c r="P14" s="16" t="s">
        <v>261</v>
      </c>
      <c r="Q14" s="19" t="s">
        <v>323</v>
      </c>
      <c r="R14" s="16" t="s">
        <v>328</v>
      </c>
      <c r="S14" s="16" t="s">
        <v>307</v>
      </c>
      <c r="T14" s="18">
        <v>8.1</v>
      </c>
      <c r="U14" s="18">
        <v>6</v>
      </c>
      <c r="V14" s="18">
        <v>5.2</v>
      </c>
      <c r="W14" s="18">
        <v>5.0999999999999996</v>
      </c>
      <c r="X14" s="18">
        <v>4.7</v>
      </c>
      <c r="Y14" s="18">
        <v>4.7</v>
      </c>
      <c r="Z14" s="18">
        <v>4.8</v>
      </c>
      <c r="AA14" s="283">
        <f t="shared" si="0"/>
        <v>-0.40740740740740744</v>
      </c>
    </row>
    <row r="15" spans="1:27" x14ac:dyDescent="0.35">
      <c r="P15" s="16" t="s">
        <v>261</v>
      </c>
      <c r="Q15" s="19" t="s">
        <v>323</v>
      </c>
      <c r="R15" s="16" t="s">
        <v>330</v>
      </c>
      <c r="S15" s="16" t="s">
        <v>307</v>
      </c>
      <c r="T15" s="18">
        <v>3.4</v>
      </c>
      <c r="U15" s="18">
        <v>3.4</v>
      </c>
      <c r="V15" s="18">
        <v>3.1</v>
      </c>
      <c r="W15" s="18">
        <v>3</v>
      </c>
      <c r="X15" s="18">
        <v>3.4</v>
      </c>
      <c r="Y15" s="18">
        <v>3.5</v>
      </c>
      <c r="Z15" s="18">
        <v>3.7</v>
      </c>
      <c r="AA15" s="283">
        <f t="shared" si="0"/>
        <v>8.8235294117647189E-2</v>
      </c>
    </row>
    <row r="16" spans="1:27" x14ac:dyDescent="0.35">
      <c r="A16" s="279" t="s">
        <v>331</v>
      </c>
      <c r="P16" s="16" t="s">
        <v>261</v>
      </c>
      <c r="Q16" s="19" t="s">
        <v>323</v>
      </c>
      <c r="R16" s="16" t="s">
        <v>332</v>
      </c>
      <c r="S16" s="16" t="s">
        <v>307</v>
      </c>
      <c r="T16" s="18">
        <v>2.9</v>
      </c>
      <c r="U16" s="18">
        <v>2.7</v>
      </c>
      <c r="V16" s="18">
        <v>2.6</v>
      </c>
      <c r="W16" s="18">
        <v>2.7</v>
      </c>
      <c r="X16" s="18">
        <v>2.5</v>
      </c>
      <c r="Y16" s="18">
        <v>2.5</v>
      </c>
      <c r="Z16" s="18">
        <v>2.4</v>
      </c>
      <c r="AA16" s="283">
        <f t="shared" si="0"/>
        <v>-0.17241379310344829</v>
      </c>
    </row>
    <row r="17" spans="1:28" x14ac:dyDescent="0.35">
      <c r="A17" s="279" t="s">
        <v>313</v>
      </c>
      <c r="E17" s="279">
        <f>F9/E9-1</f>
        <v>-2.2058823529411686E-2</v>
      </c>
      <c r="F17" s="279">
        <f t="shared" ref="F17:I17" si="1">G9/F9-1</f>
        <v>7.5187969924812581E-3</v>
      </c>
      <c r="G17" s="279">
        <f t="shared" si="1"/>
        <v>-3.7313432835820892E-2</v>
      </c>
      <c r="H17" s="279">
        <f t="shared" si="1"/>
        <v>-1.5503875968992276E-2</v>
      </c>
      <c r="I17" s="279">
        <f t="shared" si="1"/>
        <v>-7.8740157480314821E-3</v>
      </c>
      <c r="J17" s="279">
        <f>K9/J9-1</f>
        <v>-1</v>
      </c>
      <c r="K17" s="283">
        <f>AVERAGE(E17:I17)</f>
        <v>-1.5046270217955016E-2</v>
      </c>
      <c r="P17" s="16" t="s">
        <v>261</v>
      </c>
      <c r="Q17" s="19" t="s">
        <v>323</v>
      </c>
      <c r="R17" s="16" t="s">
        <v>333</v>
      </c>
      <c r="S17" s="16" t="s">
        <v>307</v>
      </c>
      <c r="T17" s="18">
        <v>0.9</v>
      </c>
      <c r="U17" s="18">
        <v>0.8</v>
      </c>
      <c r="V17" s="18">
        <v>0.9</v>
      </c>
      <c r="W17" s="18">
        <v>0.9</v>
      </c>
      <c r="X17" s="18">
        <v>0.8</v>
      </c>
      <c r="Y17" s="18">
        <v>0.8</v>
      </c>
      <c r="Z17" s="18">
        <v>0.8</v>
      </c>
      <c r="AA17" s="283">
        <f t="shared" si="0"/>
        <v>-0.11111111111111105</v>
      </c>
    </row>
    <row r="18" spans="1:28" x14ac:dyDescent="0.35">
      <c r="E18" s="279">
        <f>F10/E10-1</f>
        <v>0.14035087719298245</v>
      </c>
      <c r="F18" s="279">
        <f t="shared" ref="F18:J18" si="2">G10/F10-1</f>
        <v>7.6923076923076872E-2</v>
      </c>
      <c r="G18" s="279">
        <f t="shared" si="2"/>
        <v>4.2857142857142927E-2</v>
      </c>
      <c r="H18" s="279">
        <f t="shared" si="2"/>
        <v>1.3698630136986356E-2</v>
      </c>
      <c r="I18" s="279">
        <f t="shared" si="2"/>
        <v>-2.7027027027027084E-2</v>
      </c>
      <c r="J18" s="279">
        <f t="shared" si="2"/>
        <v>-1</v>
      </c>
      <c r="K18" s="283">
        <f t="shared" ref="K18:K19" si="3">AVERAGE(E18:I18)</f>
        <v>4.9360540016632301E-2</v>
      </c>
      <c r="L18" s="284">
        <f>AVERAGE(K17:K19)</f>
        <v>-2.5431686916703353E-3</v>
      </c>
      <c r="P18" s="16" t="s">
        <v>261</v>
      </c>
      <c r="Q18" s="19" t="s">
        <v>323</v>
      </c>
      <c r="R18" s="16" t="s">
        <v>334</v>
      </c>
      <c r="S18" s="16" t="s">
        <v>307</v>
      </c>
      <c r="T18" s="18">
        <v>0.8</v>
      </c>
      <c r="U18" s="18">
        <v>0.7</v>
      </c>
      <c r="V18" s="18">
        <v>0.7</v>
      </c>
      <c r="W18" s="18">
        <v>0.7</v>
      </c>
      <c r="X18" s="18">
        <v>0.7</v>
      </c>
      <c r="Y18" s="18">
        <v>0.7</v>
      </c>
      <c r="Z18" s="18">
        <v>0.7</v>
      </c>
      <c r="AA18" s="283">
        <f t="shared" si="0"/>
        <v>-0.12500000000000011</v>
      </c>
      <c r="AB18" s="284">
        <f>AVERAGE(AA11,AA12,AA14,AA15,AA16,AA17,AA18)</f>
        <v>-0.10942408892037017</v>
      </c>
    </row>
    <row r="19" spans="1:28" x14ac:dyDescent="0.35">
      <c r="E19" s="279">
        <f>F11/E11-1</f>
        <v>-0.1333333333333333</v>
      </c>
      <c r="F19" s="279">
        <f t="shared" ref="F19:J19" si="4">G11/F11-1</f>
        <v>-1.9230769230769384E-2</v>
      </c>
      <c r="G19" s="279">
        <f t="shared" si="4"/>
        <v>-7.8431372549019551E-2</v>
      </c>
      <c r="H19" s="279">
        <f t="shared" si="4"/>
        <v>0</v>
      </c>
      <c r="I19" s="279">
        <f t="shared" si="4"/>
        <v>2.1276595744680771E-2</v>
      </c>
      <c r="J19" s="279">
        <f t="shared" si="4"/>
        <v>-1</v>
      </c>
      <c r="K19" s="283">
        <f t="shared" si="3"/>
        <v>-4.1943775873688291E-2</v>
      </c>
      <c r="P19" s="16" t="s">
        <v>261</v>
      </c>
      <c r="Q19" s="19" t="s">
        <v>323</v>
      </c>
      <c r="R19" s="16" t="s">
        <v>335</v>
      </c>
      <c r="S19" s="16" t="s">
        <v>307</v>
      </c>
      <c r="T19" s="18">
        <v>0.6</v>
      </c>
      <c r="U19" s="18">
        <v>0.6</v>
      </c>
      <c r="V19" s="18">
        <v>0.6</v>
      </c>
      <c r="W19" s="18">
        <v>0.6</v>
      </c>
      <c r="X19" s="18">
        <v>0.6</v>
      </c>
      <c r="Y19" s="18">
        <v>0.6</v>
      </c>
      <c r="Z19" s="18">
        <v>0.6</v>
      </c>
      <c r="AA19" s="283">
        <f t="shared" si="0"/>
        <v>0</v>
      </c>
    </row>
    <row r="20" spans="1:28" x14ac:dyDescent="0.35">
      <c r="P20" s="16" t="s">
        <v>261</v>
      </c>
      <c r="Q20" s="19" t="s">
        <v>323</v>
      </c>
      <c r="R20" s="16" t="s">
        <v>336</v>
      </c>
      <c r="S20" s="16" t="s">
        <v>307</v>
      </c>
      <c r="T20" s="281" t="s">
        <v>337</v>
      </c>
      <c r="U20" s="281" t="s">
        <v>337</v>
      </c>
      <c r="V20" s="281" t="s">
        <v>337</v>
      </c>
      <c r="W20" s="18">
        <v>0.5</v>
      </c>
      <c r="X20" s="18">
        <v>0.5</v>
      </c>
      <c r="Y20" s="18">
        <v>0.5</v>
      </c>
      <c r="Z20" s="18">
        <v>0.5</v>
      </c>
      <c r="AA20" s="283" t="e">
        <f t="shared" si="0"/>
        <v>#VALUE!</v>
      </c>
    </row>
    <row r="21" spans="1:28" x14ac:dyDescent="0.35">
      <c r="P21" s="16" t="s">
        <v>261</v>
      </c>
      <c r="Q21" s="19" t="s">
        <v>323</v>
      </c>
      <c r="R21" s="16" t="s">
        <v>338</v>
      </c>
      <c r="S21" s="16" t="s">
        <v>307</v>
      </c>
      <c r="T21" s="18">
        <v>0.5</v>
      </c>
      <c r="U21" s="18">
        <v>0.5</v>
      </c>
      <c r="V21" s="18">
        <v>0.5</v>
      </c>
      <c r="W21" s="18">
        <v>0.5</v>
      </c>
      <c r="X21" s="18">
        <v>0.5</v>
      </c>
      <c r="Y21" s="18">
        <v>0.5</v>
      </c>
      <c r="Z21" s="18">
        <v>0.5</v>
      </c>
      <c r="AA21" s="283">
        <f t="shared" si="0"/>
        <v>0</v>
      </c>
    </row>
    <row r="22" spans="1:28" ht="13" x14ac:dyDescent="0.35">
      <c r="A22" s="15" t="s">
        <v>294</v>
      </c>
      <c r="B22" s="15" t="s">
        <v>295</v>
      </c>
      <c r="C22" s="15" t="s">
        <v>296</v>
      </c>
      <c r="D22" s="15" t="s">
        <v>297</v>
      </c>
      <c r="E22" s="15" t="s">
        <v>298</v>
      </c>
      <c r="F22" s="15" t="s">
        <v>299</v>
      </c>
      <c r="G22" s="15" t="s">
        <v>300</v>
      </c>
      <c r="H22" s="15" t="s">
        <v>301</v>
      </c>
      <c r="I22" s="15" t="s">
        <v>302</v>
      </c>
      <c r="J22" s="15" t="s">
        <v>303</v>
      </c>
      <c r="K22" s="15" t="s">
        <v>304</v>
      </c>
      <c r="L22" s="15" t="s">
        <v>305</v>
      </c>
      <c r="P22" s="16" t="s">
        <v>261</v>
      </c>
      <c r="Q22" s="19" t="s">
        <v>323</v>
      </c>
      <c r="R22" s="16" t="s">
        <v>339</v>
      </c>
      <c r="S22" s="16" t="s">
        <v>307</v>
      </c>
      <c r="T22" s="18">
        <v>0.4</v>
      </c>
      <c r="U22" s="18">
        <v>0.4</v>
      </c>
      <c r="V22" s="18">
        <v>0.4</v>
      </c>
      <c r="W22" s="18">
        <v>0.4</v>
      </c>
      <c r="X22" s="18">
        <v>0.4</v>
      </c>
      <c r="Y22" s="18">
        <v>0.4</v>
      </c>
      <c r="Z22" s="18">
        <v>0.4</v>
      </c>
      <c r="AA22" s="283">
        <f t="shared" si="0"/>
        <v>0</v>
      </c>
    </row>
    <row r="23" spans="1:28" x14ac:dyDescent="0.35">
      <c r="A23" s="16" t="s">
        <v>261</v>
      </c>
      <c r="B23" s="19" t="s">
        <v>323</v>
      </c>
      <c r="C23" s="16" t="s">
        <v>307</v>
      </c>
      <c r="D23" s="16" t="s">
        <v>340</v>
      </c>
      <c r="E23" s="16" t="s">
        <v>309</v>
      </c>
      <c r="F23" s="18">
        <v>34739.199999999997</v>
      </c>
      <c r="G23" s="18">
        <v>38142.300000000003</v>
      </c>
      <c r="H23" s="18">
        <v>39770.6</v>
      </c>
      <c r="I23" s="18">
        <v>37650.6</v>
      </c>
      <c r="J23" s="18">
        <v>40703.199999999997</v>
      </c>
      <c r="K23" s="18">
        <v>42920.4</v>
      </c>
      <c r="L23" s="18">
        <v>44003.3</v>
      </c>
      <c r="P23" s="16" t="s">
        <v>261</v>
      </c>
      <c r="Q23" s="19" t="s">
        <v>323</v>
      </c>
      <c r="R23" s="16" t="s">
        <v>341</v>
      </c>
      <c r="S23" s="16" t="s">
        <v>307</v>
      </c>
      <c r="T23" s="18">
        <v>0.4</v>
      </c>
      <c r="U23" s="18">
        <v>0.4</v>
      </c>
      <c r="V23" s="18">
        <v>0.4</v>
      </c>
      <c r="W23" s="18">
        <v>0.4</v>
      </c>
      <c r="X23" s="18">
        <v>0.4</v>
      </c>
      <c r="Y23" s="18">
        <v>0.4</v>
      </c>
      <c r="Z23" s="18">
        <v>0.4</v>
      </c>
      <c r="AA23" s="283">
        <f t="shared" si="0"/>
        <v>0</v>
      </c>
    </row>
    <row r="24" spans="1:28" x14ac:dyDescent="0.35">
      <c r="P24" s="16" t="s">
        <v>261</v>
      </c>
      <c r="Q24" s="19" t="s">
        <v>323</v>
      </c>
      <c r="R24" s="16" t="s">
        <v>342</v>
      </c>
      <c r="S24" s="16" t="s">
        <v>307</v>
      </c>
      <c r="T24" s="18">
        <v>0.3</v>
      </c>
      <c r="U24" s="18">
        <v>0.3</v>
      </c>
      <c r="V24" s="18">
        <v>0.3</v>
      </c>
      <c r="W24" s="18">
        <v>0.3</v>
      </c>
      <c r="X24" s="18">
        <v>0.3</v>
      </c>
      <c r="Y24" s="18">
        <v>0.3</v>
      </c>
      <c r="Z24" s="18">
        <v>0.3</v>
      </c>
      <c r="AA24" s="283">
        <f t="shared" si="0"/>
        <v>0</v>
      </c>
    </row>
    <row r="25" spans="1:28" x14ac:dyDescent="0.35">
      <c r="P25" s="16" t="s">
        <v>261</v>
      </c>
      <c r="Q25" s="19" t="s">
        <v>323</v>
      </c>
      <c r="R25" s="16" t="s">
        <v>343</v>
      </c>
      <c r="S25" s="16" t="s">
        <v>307</v>
      </c>
      <c r="T25" s="18">
        <v>0.2</v>
      </c>
      <c r="U25" s="18">
        <v>0.2</v>
      </c>
      <c r="V25" s="18">
        <v>0.2</v>
      </c>
      <c r="W25" s="18">
        <v>0.2</v>
      </c>
      <c r="X25" s="18">
        <v>0.2</v>
      </c>
      <c r="Y25" s="18">
        <v>0.2</v>
      </c>
      <c r="Z25" s="18">
        <v>0.2</v>
      </c>
      <c r="AA25" s="283">
        <f t="shared" si="0"/>
        <v>0</v>
      </c>
    </row>
    <row r="26" spans="1:28" x14ac:dyDescent="0.35">
      <c r="A26" s="16" t="s">
        <v>261</v>
      </c>
      <c r="B26" s="19" t="s">
        <v>323</v>
      </c>
      <c r="C26" s="16" t="s">
        <v>326</v>
      </c>
      <c r="D26" s="16" t="s">
        <v>307</v>
      </c>
      <c r="E26" s="18">
        <v>13.6</v>
      </c>
      <c r="F26" s="18">
        <v>13.3</v>
      </c>
      <c r="G26" s="18">
        <v>13.4</v>
      </c>
      <c r="H26" s="18">
        <v>12.9</v>
      </c>
      <c r="I26" s="18">
        <v>12.7</v>
      </c>
      <c r="J26" s="18">
        <v>12.6</v>
      </c>
      <c r="P26" s="16" t="s">
        <v>261</v>
      </c>
      <c r="Q26" s="19" t="s">
        <v>323</v>
      </c>
      <c r="R26" s="16" t="s">
        <v>344</v>
      </c>
      <c r="S26" s="16" t="s">
        <v>307</v>
      </c>
      <c r="T26" s="18">
        <v>0.2</v>
      </c>
      <c r="U26" s="18">
        <v>0.2</v>
      </c>
      <c r="V26" s="18">
        <v>0.2</v>
      </c>
      <c r="W26" s="18">
        <v>0.2</v>
      </c>
      <c r="X26" s="18">
        <v>0.2</v>
      </c>
      <c r="Y26" s="18">
        <v>0.2</v>
      </c>
      <c r="Z26" s="18">
        <v>0.2</v>
      </c>
      <c r="AA26" s="283">
        <f t="shared" si="0"/>
        <v>0</v>
      </c>
    </row>
    <row r="27" spans="1:28" x14ac:dyDescent="0.35">
      <c r="A27" s="16" t="s">
        <v>261</v>
      </c>
      <c r="B27" s="19" t="s">
        <v>323</v>
      </c>
      <c r="C27" s="16" t="s">
        <v>327</v>
      </c>
      <c r="D27" s="16" t="s">
        <v>307</v>
      </c>
      <c r="E27" s="18">
        <v>5.7</v>
      </c>
      <c r="F27" s="18">
        <v>6.5</v>
      </c>
      <c r="G27" s="18">
        <v>7</v>
      </c>
      <c r="H27" s="18">
        <v>7.3</v>
      </c>
      <c r="I27" s="18">
        <v>7.4</v>
      </c>
      <c r="J27" s="18">
        <v>7.2</v>
      </c>
      <c r="P27" s="16" t="s">
        <v>261</v>
      </c>
      <c r="Q27" s="19" t="s">
        <v>323</v>
      </c>
      <c r="R27" s="16" t="s">
        <v>345</v>
      </c>
      <c r="S27" s="16" t="s">
        <v>307</v>
      </c>
      <c r="T27" s="18">
        <v>0.2</v>
      </c>
      <c r="U27" s="18">
        <v>0.2</v>
      </c>
      <c r="V27" s="18">
        <v>0.2</v>
      </c>
      <c r="W27" s="18">
        <v>0.2</v>
      </c>
      <c r="X27" s="18">
        <v>0.2</v>
      </c>
      <c r="Y27" s="18">
        <v>0.1</v>
      </c>
      <c r="Z27" s="18">
        <v>0.2</v>
      </c>
      <c r="AA27" s="283">
        <f t="shared" si="0"/>
        <v>0</v>
      </c>
    </row>
    <row r="28" spans="1:28" x14ac:dyDescent="0.35">
      <c r="A28" s="16" t="s">
        <v>261</v>
      </c>
      <c r="B28" s="19" t="s">
        <v>323</v>
      </c>
      <c r="C28" s="16" t="s">
        <v>328</v>
      </c>
      <c r="D28" s="16" t="s">
        <v>307</v>
      </c>
      <c r="E28" s="18">
        <v>6</v>
      </c>
      <c r="F28" s="18">
        <v>5.2</v>
      </c>
      <c r="G28" s="18">
        <v>5.0999999999999996</v>
      </c>
      <c r="H28" s="18">
        <v>4.7</v>
      </c>
      <c r="I28" s="18">
        <v>4.7</v>
      </c>
      <c r="J28" s="18">
        <v>4.8</v>
      </c>
      <c r="P28" s="16" t="s">
        <v>261</v>
      </c>
      <c r="Q28" s="19" t="s">
        <v>323</v>
      </c>
      <c r="R28" s="16" t="s">
        <v>346</v>
      </c>
      <c r="S28" s="16" t="s">
        <v>307</v>
      </c>
      <c r="T28" s="18">
        <v>0.1</v>
      </c>
      <c r="U28" s="18">
        <v>0.1</v>
      </c>
      <c r="V28" s="18">
        <v>0.1</v>
      </c>
      <c r="W28" s="18">
        <v>0.1</v>
      </c>
      <c r="X28" s="18">
        <v>0.1</v>
      </c>
      <c r="Y28" s="18">
        <v>0.1</v>
      </c>
      <c r="Z28" s="18">
        <v>0.1</v>
      </c>
      <c r="AA28" s="283">
        <f t="shared" si="0"/>
        <v>0</v>
      </c>
    </row>
    <row r="29" spans="1:28" x14ac:dyDescent="0.35">
      <c r="A29" s="16" t="s">
        <v>261</v>
      </c>
      <c r="B29" s="19" t="s">
        <v>323</v>
      </c>
      <c r="C29" s="16" t="s">
        <v>330</v>
      </c>
      <c r="D29" s="16" t="s">
        <v>307</v>
      </c>
      <c r="E29" s="18">
        <v>3.4</v>
      </c>
      <c r="F29" s="18">
        <v>3.1</v>
      </c>
      <c r="G29" s="18">
        <v>3</v>
      </c>
      <c r="H29" s="18">
        <v>3.4</v>
      </c>
      <c r="I29" s="18">
        <v>3.5</v>
      </c>
      <c r="J29" s="18">
        <v>3.7</v>
      </c>
      <c r="P29" s="16" t="s">
        <v>261</v>
      </c>
      <c r="Q29" s="19" t="s">
        <v>323</v>
      </c>
      <c r="R29" s="16" t="s">
        <v>347</v>
      </c>
      <c r="S29" s="16" t="s">
        <v>307</v>
      </c>
      <c r="T29" s="18">
        <v>0.5</v>
      </c>
      <c r="U29" s="18">
        <v>0.5</v>
      </c>
      <c r="V29" s="18">
        <v>0.5</v>
      </c>
      <c r="W29" s="281" t="s">
        <v>337</v>
      </c>
      <c r="X29" s="281" t="s">
        <v>337</v>
      </c>
      <c r="Y29" s="281" t="s">
        <v>337</v>
      </c>
      <c r="Z29" s="281" t="s">
        <v>337</v>
      </c>
      <c r="AA29" s="283" t="e">
        <f t="shared" si="0"/>
        <v>#VALUE!</v>
      </c>
    </row>
    <row r="30" spans="1:28" x14ac:dyDescent="0.35">
      <c r="A30" s="16" t="s">
        <v>261</v>
      </c>
      <c r="B30" s="19" t="s">
        <v>323</v>
      </c>
      <c r="C30" s="16" t="s">
        <v>332</v>
      </c>
      <c r="D30" s="16" t="s">
        <v>307</v>
      </c>
      <c r="E30" s="18">
        <v>0.60999999999999799</v>
      </c>
      <c r="F30" s="18">
        <v>0.220000000000002</v>
      </c>
      <c r="G30" s="18">
        <v>9.9999999999997896E-2</v>
      </c>
      <c r="H30" s="18">
        <v>0.5</v>
      </c>
      <c r="I30" s="18">
        <v>0.69</v>
      </c>
      <c r="J30" s="18">
        <v>0.89999999999999902</v>
      </c>
      <c r="P30" s="16" t="s">
        <v>261</v>
      </c>
      <c r="Q30" s="19" t="s">
        <v>323</v>
      </c>
      <c r="R30" s="16" t="s">
        <v>348</v>
      </c>
      <c r="S30" s="16" t="s">
        <v>307</v>
      </c>
      <c r="T30" s="18">
        <v>2.6</v>
      </c>
      <c r="U30" s="18">
        <v>2.2999999999999998</v>
      </c>
      <c r="V30" s="18">
        <v>2.2000000000000002</v>
      </c>
      <c r="W30" s="18">
        <v>1.1000000000000001</v>
      </c>
      <c r="X30" s="281" t="s">
        <v>337</v>
      </c>
      <c r="Y30" s="281" t="s">
        <v>337</v>
      </c>
      <c r="Z30" s="281" t="s">
        <v>337</v>
      </c>
      <c r="AA30" s="283" t="e">
        <f t="shared" si="0"/>
        <v>#VALUE!</v>
      </c>
    </row>
    <row r="31" spans="1:28" x14ac:dyDescent="0.35">
      <c r="P31" s="16" t="s">
        <v>261</v>
      </c>
      <c r="Q31" s="19" t="s">
        <v>323</v>
      </c>
      <c r="R31" s="16" t="s">
        <v>195</v>
      </c>
      <c r="S31" s="16" t="s">
        <v>307</v>
      </c>
      <c r="T31" s="18">
        <v>10.5</v>
      </c>
      <c r="U31" s="18">
        <v>11.9</v>
      </c>
      <c r="V31" s="18">
        <v>12.5</v>
      </c>
      <c r="W31" s="18">
        <v>12.4</v>
      </c>
      <c r="X31" s="18">
        <v>11.8</v>
      </c>
      <c r="Y31" s="18">
        <v>11.8</v>
      </c>
      <c r="Z31" s="18">
        <v>11.4</v>
      </c>
      <c r="AA31" s="283">
        <f t="shared" si="0"/>
        <v>8.5714285714285854E-2</v>
      </c>
    </row>
    <row r="32" spans="1:28" x14ac:dyDescent="0.35">
      <c r="P32" s="16" t="s">
        <v>261</v>
      </c>
      <c r="Q32" s="19" t="s">
        <v>323</v>
      </c>
      <c r="R32" s="16" t="s">
        <v>99</v>
      </c>
      <c r="S32" s="16" t="s">
        <v>307</v>
      </c>
      <c r="T32" s="18">
        <v>100</v>
      </c>
      <c r="U32" s="18">
        <v>100</v>
      </c>
      <c r="V32" s="18">
        <v>100</v>
      </c>
      <c r="W32" s="18">
        <v>100</v>
      </c>
      <c r="X32" s="18">
        <v>100</v>
      </c>
      <c r="Y32" s="18">
        <v>100</v>
      </c>
      <c r="Z32" s="18">
        <v>100</v>
      </c>
      <c r="AA32" s="283">
        <f t="shared" si="0"/>
        <v>0</v>
      </c>
    </row>
    <row r="33" spans="5:13" x14ac:dyDescent="0.35">
      <c r="E33" s="279">
        <f>F26/E26-1</f>
        <v>-2.2058823529411686E-2</v>
      </c>
      <c r="F33" s="279">
        <f t="shared" ref="F33:J33" si="5">G26/F26-1</f>
        <v>7.5187969924812581E-3</v>
      </c>
      <c r="G33" s="279">
        <f t="shared" si="5"/>
        <v>-3.7313432835820892E-2</v>
      </c>
      <c r="H33" s="279">
        <f t="shared" si="5"/>
        <v>-1.5503875968992276E-2</v>
      </c>
      <c r="I33" s="279">
        <f t="shared" si="5"/>
        <v>-7.8740157480314821E-3</v>
      </c>
      <c r="J33" s="279">
        <f t="shared" si="5"/>
        <v>-1</v>
      </c>
      <c r="K33" s="283">
        <f>AVERAGE(E33:I33)</f>
        <v>-1.5046270217955016E-2</v>
      </c>
      <c r="L33" s="284">
        <f>AVERAGE(K33:K35)</f>
        <v>-2.5431686916703353E-3</v>
      </c>
      <c r="M33" s="284">
        <f>-AB18/2</f>
        <v>5.4712044460185086E-2</v>
      </c>
    </row>
    <row r="34" spans="5:13" x14ac:dyDescent="0.35">
      <c r="E34" s="279">
        <f t="shared" ref="E34:J34" si="6">F27/E27-1</f>
        <v>0.14035087719298245</v>
      </c>
      <c r="F34" s="279">
        <f t="shared" si="6"/>
        <v>7.6923076923076872E-2</v>
      </c>
      <c r="G34" s="279">
        <f t="shared" si="6"/>
        <v>4.2857142857142927E-2</v>
      </c>
      <c r="H34" s="279">
        <f t="shared" si="6"/>
        <v>1.3698630136986356E-2</v>
      </c>
      <c r="I34" s="279">
        <f t="shared" si="6"/>
        <v>-2.7027027027027084E-2</v>
      </c>
      <c r="J34" s="279">
        <f t="shared" si="6"/>
        <v>-1</v>
      </c>
      <c r="K34" s="283">
        <f t="shared" ref="K34:K37" si="7">AVERAGE(E34:I34)</f>
        <v>4.9360540016632301E-2</v>
      </c>
    </row>
    <row r="35" spans="5:13" x14ac:dyDescent="0.35">
      <c r="E35" s="279">
        <f t="shared" ref="E35:J37" si="8">F28/E28-1</f>
        <v>-0.1333333333333333</v>
      </c>
      <c r="F35" s="279">
        <f t="shared" si="8"/>
        <v>-1.9230769230769384E-2</v>
      </c>
      <c r="G35" s="279">
        <f t="shared" si="8"/>
        <v>-7.8431372549019551E-2</v>
      </c>
      <c r="H35" s="279">
        <f t="shared" si="8"/>
        <v>0</v>
      </c>
      <c r="I35" s="279">
        <f t="shared" si="8"/>
        <v>2.1276595744680771E-2</v>
      </c>
      <c r="J35" s="279">
        <f t="shared" si="8"/>
        <v>-1</v>
      </c>
      <c r="K35" s="283">
        <f t="shared" si="7"/>
        <v>-4.1943775873688291E-2</v>
      </c>
    </row>
    <row r="36" spans="5:13" x14ac:dyDescent="0.35">
      <c r="E36" s="279">
        <f t="shared" si="8"/>
        <v>-8.8235294117646967E-2</v>
      </c>
      <c r="F36" s="279">
        <f t="shared" ref="F36:I36" si="9">G29/F29-1</f>
        <v>-3.2258064516129115E-2</v>
      </c>
      <c r="G36" s="279">
        <f t="shared" si="9"/>
        <v>0.1333333333333333</v>
      </c>
      <c r="H36" s="279">
        <f t="shared" si="9"/>
        <v>2.941176470588247E-2</v>
      </c>
      <c r="I36" s="279">
        <f t="shared" si="9"/>
        <v>5.7142857142857162E-2</v>
      </c>
      <c r="J36" s="279">
        <f t="shared" si="8"/>
        <v>-1</v>
      </c>
      <c r="K36" s="283">
        <f t="shared" si="7"/>
        <v>1.9878919309659369E-2</v>
      </c>
    </row>
    <row r="37" spans="5:13" x14ac:dyDescent="0.35">
      <c r="E37" s="279">
        <f t="shared" si="8"/>
        <v>-0.63934426229507757</v>
      </c>
      <c r="F37" s="279">
        <f t="shared" ref="F37:I37" si="10">G30/F30-1</f>
        <v>-0.54545454545455918</v>
      </c>
      <c r="G37" s="279">
        <f t="shared" si="10"/>
        <v>4.0000000000001048</v>
      </c>
      <c r="H37" s="279">
        <f t="shared" si="10"/>
        <v>0.37999999999999989</v>
      </c>
      <c r="I37" s="279">
        <f t="shared" si="10"/>
        <v>0.30434782608695521</v>
      </c>
      <c r="K37" s="283">
        <f t="shared" si="7"/>
        <v>0.69990980366748468</v>
      </c>
    </row>
    <row r="38" spans="5:13" x14ac:dyDescent="0.35">
      <c r="K38" s="28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E615-EA45-4901-A8F7-2961DFAEFD69}">
  <dimension ref="A1:L12"/>
  <sheetViews>
    <sheetView workbookViewId="0">
      <selection activeCell="U23" sqref="U23"/>
    </sheetView>
  </sheetViews>
  <sheetFormatPr defaultRowHeight="14.5" x14ac:dyDescent="0.35"/>
  <cols>
    <col min="1" max="1" width="10.453125" bestFit="1" customWidth="1"/>
    <col min="2" max="2" width="13" bestFit="1" customWidth="1"/>
    <col min="3" max="3" width="14.54296875" bestFit="1" customWidth="1"/>
    <col min="4" max="4" width="9.7265625" bestFit="1" customWidth="1"/>
    <col min="5" max="5" width="15.81640625" bestFit="1" customWidth="1"/>
    <col min="6" max="11" width="7.81640625" bestFit="1" customWidth="1"/>
  </cols>
  <sheetData>
    <row r="1" spans="1:12" x14ac:dyDescent="0.35">
      <c r="A1" s="15" t="s">
        <v>294</v>
      </c>
      <c r="B1" s="15" t="s">
        <v>295</v>
      </c>
      <c r="C1" s="15" t="s">
        <v>296</v>
      </c>
      <c r="D1" s="15" t="s">
        <v>297</v>
      </c>
      <c r="E1" s="15" t="s">
        <v>298</v>
      </c>
      <c r="F1" s="15" t="s">
        <v>299</v>
      </c>
      <c r="G1" s="15" t="s">
        <v>300</v>
      </c>
      <c r="H1" s="15" t="s">
        <v>301</v>
      </c>
      <c r="I1" s="15" t="s">
        <v>302</v>
      </c>
      <c r="J1" s="15" t="s">
        <v>303</v>
      </c>
      <c r="K1" s="15" t="s">
        <v>304</v>
      </c>
    </row>
    <row r="2" spans="1:12" x14ac:dyDescent="0.35">
      <c r="A2" s="16" t="s">
        <v>261</v>
      </c>
      <c r="B2" s="19" t="s">
        <v>392</v>
      </c>
      <c r="C2" s="16" t="s">
        <v>307</v>
      </c>
      <c r="D2" s="16" t="s">
        <v>340</v>
      </c>
      <c r="E2" s="16" t="s">
        <v>309</v>
      </c>
      <c r="F2" s="18">
        <v>49131.1</v>
      </c>
      <c r="G2" s="18">
        <v>52871.1</v>
      </c>
      <c r="H2" s="18">
        <v>55244</v>
      </c>
      <c r="I2" s="18">
        <v>55292.2</v>
      </c>
      <c r="J2" s="18">
        <v>59077.4</v>
      </c>
      <c r="K2" s="18">
        <v>66105.899999999994</v>
      </c>
    </row>
    <row r="11" spans="1:12" ht="15" x14ac:dyDescent="0.35">
      <c r="F11" s="110">
        <v>2025</v>
      </c>
      <c r="G11" s="110">
        <v>2026</v>
      </c>
      <c r="H11" s="110">
        <v>2027</v>
      </c>
      <c r="I11" s="110">
        <v>2028</v>
      </c>
      <c r="J11" s="110">
        <v>2029</v>
      </c>
      <c r="K11" s="110">
        <v>2030</v>
      </c>
      <c r="L11" s="110">
        <v>2031</v>
      </c>
    </row>
    <row r="12" spans="1:12" x14ac:dyDescent="0.35">
      <c r="F12">
        <v>402000</v>
      </c>
      <c r="G12">
        <v>418435.6079608858</v>
      </c>
      <c r="H12">
        <v>438210.88838744041</v>
      </c>
      <c r="I12">
        <v>462359.79535076686</v>
      </c>
      <c r="J12">
        <v>492668.89615189889</v>
      </c>
      <c r="K12">
        <v>531938.67084170762</v>
      </c>
      <c r="L12">
        <v>584850.16637756722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CA1D-7812-4B9E-AEFA-819CEA280D5E}">
  <dimension ref="B8:I14"/>
  <sheetViews>
    <sheetView workbookViewId="0">
      <selection activeCell="B9" sqref="B9"/>
    </sheetView>
  </sheetViews>
  <sheetFormatPr defaultRowHeight="14.5" x14ac:dyDescent="0.35"/>
  <sheetData>
    <row r="8" spans="2:9" x14ac:dyDescent="0.35">
      <c r="B8">
        <v>2018</v>
      </c>
      <c r="C8">
        <v>2019</v>
      </c>
      <c r="D8">
        <v>2020</v>
      </c>
      <c r="E8">
        <v>2021</v>
      </c>
      <c r="F8">
        <v>2022</v>
      </c>
      <c r="G8">
        <v>2023</v>
      </c>
      <c r="H8">
        <v>2024</v>
      </c>
    </row>
    <row r="9" spans="2:9" x14ac:dyDescent="0.35">
      <c r="B9">
        <v>14262</v>
      </c>
      <c r="C9">
        <v>18116</v>
      </c>
      <c r="D9">
        <v>17708</v>
      </c>
      <c r="E9">
        <v>18705</v>
      </c>
      <c r="F9">
        <v>20292</v>
      </c>
      <c r="G9">
        <v>15169</v>
      </c>
      <c r="H9">
        <v>22423</v>
      </c>
    </row>
    <row r="11" spans="2:9" x14ac:dyDescent="0.35">
      <c r="C11" s="101">
        <f>C9/B9-1</f>
        <v>0.27022857944187351</v>
      </c>
      <c r="D11" s="101">
        <f t="shared" ref="D11:I11" si="0">D9/C9-1</f>
        <v>-2.2521527931110619E-2</v>
      </c>
      <c r="E11" s="101">
        <f t="shared" si="0"/>
        <v>5.630223627738884E-2</v>
      </c>
      <c r="F11" s="101">
        <f t="shared" si="0"/>
        <v>8.4843624699278308E-2</v>
      </c>
      <c r="G11" s="101">
        <f t="shared" si="0"/>
        <v>-0.25246402523161837</v>
      </c>
      <c r="H11" s="101">
        <f>H9/G9-1</f>
        <v>0.47821214318676253</v>
      </c>
      <c r="I11" s="101">
        <f t="shared" si="0"/>
        <v>-1</v>
      </c>
    </row>
    <row r="14" spans="2:9" x14ac:dyDescent="0.35">
      <c r="H14" s="30">
        <f>AVERAGE(D11:H11)</f>
        <v>6.8874490200140137E-2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3237A-68A0-4547-A7B2-5BFEBB5684A1}">
  <dimension ref="A1:J1760"/>
  <sheetViews>
    <sheetView workbookViewId="0">
      <selection activeCell="D24" sqref="D24"/>
    </sheetView>
  </sheetViews>
  <sheetFormatPr defaultRowHeight="14.5" x14ac:dyDescent="0.35"/>
  <cols>
    <col min="1" max="1" width="84" bestFit="1" customWidth="1"/>
  </cols>
  <sheetData>
    <row r="1" spans="1:9" x14ac:dyDescent="0.35">
      <c r="A1" t="s">
        <v>393</v>
      </c>
    </row>
    <row r="3" spans="1:9" x14ac:dyDescent="0.35">
      <c r="A3" t="s">
        <v>394</v>
      </c>
    </row>
    <row r="5" spans="1:9" x14ac:dyDescent="0.35">
      <c r="A5" t="s">
        <v>395</v>
      </c>
    </row>
    <row r="6" spans="1:9" x14ac:dyDescent="0.35">
      <c r="A6" t="s">
        <v>396</v>
      </c>
    </row>
    <row r="7" spans="1:9" x14ac:dyDescent="0.35">
      <c r="A7" t="s">
        <v>397</v>
      </c>
    </row>
    <row r="8" spans="1:9" x14ac:dyDescent="0.35">
      <c r="A8" t="s">
        <v>398</v>
      </c>
    </row>
    <row r="12" spans="1:9" x14ac:dyDescent="0.35">
      <c r="A12" t="s">
        <v>399</v>
      </c>
      <c r="C12">
        <v>2018</v>
      </c>
      <c r="D12">
        <v>2019</v>
      </c>
      <c r="E12">
        <v>2020</v>
      </c>
      <c r="F12">
        <v>2021</v>
      </c>
      <c r="G12">
        <v>2022</v>
      </c>
      <c r="H12">
        <v>2023</v>
      </c>
      <c r="I12">
        <v>2024</v>
      </c>
    </row>
    <row r="13" spans="1:9" x14ac:dyDescent="0.35">
      <c r="A13" t="s">
        <v>400</v>
      </c>
      <c r="C13">
        <f>D17</f>
        <v>0.12253531746031747</v>
      </c>
      <c r="D13">
        <f>AVERAGE(B269:B520)</f>
        <v>0.12333888888888893</v>
      </c>
      <c r="E13">
        <f>AVERAGE(B521:B773)</f>
        <v>0.12819525691699604</v>
      </c>
      <c r="F13">
        <f>AVERAGE(B774:B1028)</f>
        <v>0.17712196078431353</v>
      </c>
      <c r="G13">
        <f>AVERAGE(B1029:B1286)</f>
        <v>0.18729883720930229</v>
      </c>
      <c r="H13">
        <f>AVERAGE(B1287:B1543)</f>
        <v>0.23972490272373539</v>
      </c>
      <c r="I13">
        <f>AVERAGE(B1544:B1725)</f>
        <v>0.20599780219780214</v>
      </c>
    </row>
    <row r="16" spans="1:9" x14ac:dyDescent="0.35">
      <c r="A16" t="s">
        <v>401</v>
      </c>
      <c r="B16" t="s">
        <v>402</v>
      </c>
    </row>
    <row r="17" spans="1:10" x14ac:dyDescent="0.35">
      <c r="A17" s="85">
        <v>43102</v>
      </c>
      <c r="B17">
        <v>0.15329999999999999</v>
      </c>
      <c r="D17">
        <f>AVERAGE(B17:B268)</f>
        <v>0.12253531746031747</v>
      </c>
      <c r="F17">
        <v>4.9756765873015887</v>
      </c>
    </row>
    <row r="18" spans="1:10" x14ac:dyDescent="0.35">
      <c r="A18" s="85">
        <v>43103</v>
      </c>
      <c r="B18">
        <v>0.15310000000000001</v>
      </c>
    </row>
    <row r="19" spans="1:10" x14ac:dyDescent="0.35">
      <c r="A19" s="85">
        <v>43104</v>
      </c>
      <c r="B19">
        <v>0.1525</v>
      </c>
      <c r="H19">
        <v>0.2049</v>
      </c>
    </row>
    <row r="20" spans="1:10" x14ac:dyDescent="0.35">
      <c r="A20" s="85">
        <v>43105</v>
      </c>
      <c r="B20">
        <v>0.15079999999999999</v>
      </c>
      <c r="H20">
        <v>0.20860000000000001</v>
      </c>
      <c r="I20">
        <f>H20/H19-1</f>
        <v>1.8057589067838054E-2</v>
      </c>
    </row>
    <row r="21" spans="1:10" x14ac:dyDescent="0.35">
      <c r="A21" s="85">
        <v>43108</v>
      </c>
      <c r="B21">
        <v>0.14779999999999999</v>
      </c>
      <c r="H21">
        <v>0.20910000000000001</v>
      </c>
      <c r="I21">
        <f t="shared" ref="I21:I84" si="0">H21/H20-1</f>
        <v>2.3969319271333056E-3</v>
      </c>
      <c r="J21" s="30">
        <f>AVERAGE(I62:I200)</f>
        <v>-1.7351300330352049E-3</v>
      </c>
    </row>
    <row r="22" spans="1:10" x14ac:dyDescent="0.35">
      <c r="A22" s="85">
        <v>43109</v>
      </c>
      <c r="B22">
        <v>0.14729999999999999</v>
      </c>
      <c r="H22">
        <v>0.2114</v>
      </c>
      <c r="I22">
        <f t="shared" si="0"/>
        <v>1.099952175992347E-2</v>
      </c>
    </row>
    <row r="23" spans="1:10" x14ac:dyDescent="0.35">
      <c r="A23" s="85">
        <v>43110</v>
      </c>
      <c r="B23">
        <v>0.14649999999999999</v>
      </c>
      <c r="H23">
        <v>0.21099999999999999</v>
      </c>
      <c r="I23">
        <f t="shared" si="0"/>
        <v>-1.8921475875118832E-3</v>
      </c>
    </row>
    <row r="24" spans="1:10" x14ac:dyDescent="0.35">
      <c r="A24" s="85">
        <v>43111</v>
      </c>
      <c r="B24">
        <v>0.14180000000000001</v>
      </c>
      <c r="H24">
        <v>0.2177</v>
      </c>
      <c r="I24">
        <f t="shared" si="0"/>
        <v>3.1753554502369719E-2</v>
      </c>
    </row>
    <row r="25" spans="1:10" x14ac:dyDescent="0.35">
      <c r="A25" s="85">
        <v>43112</v>
      </c>
      <c r="B25">
        <v>0.14180000000000001</v>
      </c>
      <c r="H25">
        <v>0.216</v>
      </c>
      <c r="I25">
        <f t="shared" si="0"/>
        <v>-7.8089113458889026E-3</v>
      </c>
    </row>
    <row r="26" spans="1:10" x14ac:dyDescent="0.35">
      <c r="A26" s="85">
        <v>43116</v>
      </c>
      <c r="B26">
        <v>0.13589999999999999</v>
      </c>
      <c r="H26">
        <v>0.214</v>
      </c>
      <c r="I26">
        <f t="shared" si="0"/>
        <v>-9.2592592592593004E-3</v>
      </c>
    </row>
    <row r="27" spans="1:10" x14ac:dyDescent="0.35">
      <c r="A27" s="85">
        <v>43117</v>
      </c>
      <c r="B27">
        <v>0.13420000000000001</v>
      </c>
      <c r="H27">
        <v>0.21840000000000001</v>
      </c>
      <c r="I27">
        <f t="shared" si="0"/>
        <v>2.0560747663551426E-2</v>
      </c>
    </row>
    <row r="28" spans="1:10" x14ac:dyDescent="0.35">
      <c r="A28" s="85">
        <v>43118</v>
      </c>
      <c r="B28">
        <v>0.1308</v>
      </c>
      <c r="H28">
        <v>0.21629999999999999</v>
      </c>
      <c r="I28">
        <f t="shared" si="0"/>
        <v>-9.6153846153846922E-3</v>
      </c>
    </row>
    <row r="29" spans="1:10" x14ac:dyDescent="0.35">
      <c r="A29" s="85">
        <v>43119</v>
      </c>
      <c r="B29">
        <v>0.13250000000000001</v>
      </c>
      <c r="H29">
        <v>0.21629999999999999</v>
      </c>
      <c r="I29">
        <f t="shared" si="0"/>
        <v>0</v>
      </c>
    </row>
    <row r="30" spans="1:10" x14ac:dyDescent="0.35">
      <c r="A30" s="85">
        <v>43122</v>
      </c>
      <c r="B30">
        <v>0.13170000000000001</v>
      </c>
      <c r="H30">
        <v>0.22600000000000001</v>
      </c>
      <c r="I30">
        <f t="shared" si="0"/>
        <v>4.4845122515025482E-2</v>
      </c>
    </row>
    <row r="31" spans="1:10" x14ac:dyDescent="0.35">
      <c r="A31" s="85">
        <v>43123</v>
      </c>
      <c r="B31">
        <v>0.13189999999999999</v>
      </c>
      <c r="H31">
        <v>0.22339999999999999</v>
      </c>
      <c r="I31">
        <f t="shared" si="0"/>
        <v>-1.1504424778761124E-2</v>
      </c>
    </row>
    <row r="32" spans="1:10" x14ac:dyDescent="0.35">
      <c r="A32" s="85">
        <v>43124</v>
      </c>
      <c r="B32">
        <v>0.13159999999999999</v>
      </c>
      <c r="H32">
        <v>0.23169999999999999</v>
      </c>
      <c r="I32">
        <f t="shared" si="0"/>
        <v>3.7153088630259568E-2</v>
      </c>
    </row>
    <row r="33" spans="1:9" x14ac:dyDescent="0.35">
      <c r="A33" s="85">
        <v>43125</v>
      </c>
      <c r="B33">
        <v>0.13239999999999999</v>
      </c>
      <c r="H33">
        <v>0.2356</v>
      </c>
      <c r="I33">
        <f t="shared" si="0"/>
        <v>1.6832110487699614E-2</v>
      </c>
    </row>
    <row r="34" spans="1:9" x14ac:dyDescent="0.35">
      <c r="A34" s="85">
        <v>43126</v>
      </c>
      <c r="B34">
        <v>0.1336</v>
      </c>
      <c r="H34">
        <v>0.23499999999999999</v>
      </c>
      <c r="I34">
        <f t="shared" si="0"/>
        <v>-2.5466893039050031E-3</v>
      </c>
    </row>
    <row r="35" spans="1:9" x14ac:dyDescent="0.35">
      <c r="A35" s="85">
        <v>43129</v>
      </c>
      <c r="B35">
        <v>0.13669999999999999</v>
      </c>
      <c r="H35">
        <v>0.23719999999999999</v>
      </c>
      <c r="I35">
        <f t="shared" si="0"/>
        <v>9.3617021276595214E-3</v>
      </c>
    </row>
    <row r="36" spans="1:9" x14ac:dyDescent="0.35">
      <c r="A36" s="85">
        <v>43130</v>
      </c>
      <c r="B36">
        <v>0.13719999999999999</v>
      </c>
      <c r="H36">
        <v>0.2445</v>
      </c>
      <c r="I36">
        <f t="shared" si="0"/>
        <v>3.0775716694772415E-2</v>
      </c>
    </row>
    <row r="37" spans="1:9" x14ac:dyDescent="0.35">
      <c r="A37" s="85">
        <v>43131</v>
      </c>
      <c r="B37">
        <v>0.1323</v>
      </c>
      <c r="H37">
        <v>0.23960000000000001</v>
      </c>
      <c r="I37">
        <f t="shared" si="0"/>
        <v>-2.0040899795500944E-2</v>
      </c>
    </row>
    <row r="38" spans="1:9" x14ac:dyDescent="0.35">
      <c r="A38" s="85">
        <v>43132</v>
      </c>
      <c r="B38">
        <v>0.13370000000000001</v>
      </c>
      <c r="H38">
        <v>0.2384</v>
      </c>
      <c r="I38">
        <f t="shared" si="0"/>
        <v>-5.008347245408995E-3</v>
      </c>
    </row>
    <row r="39" spans="1:9" x14ac:dyDescent="0.35">
      <c r="A39" s="85">
        <v>43133</v>
      </c>
      <c r="B39">
        <v>0.1363</v>
      </c>
      <c r="H39">
        <v>0.23499999999999999</v>
      </c>
      <c r="I39">
        <f t="shared" si="0"/>
        <v>-1.4261744966443057E-2</v>
      </c>
    </row>
    <row r="40" spans="1:9" x14ac:dyDescent="0.35">
      <c r="A40" s="85">
        <v>43136</v>
      </c>
      <c r="B40">
        <v>0.13900000000000001</v>
      </c>
      <c r="H40">
        <v>0.24010000000000001</v>
      </c>
      <c r="I40">
        <f t="shared" si="0"/>
        <v>2.1702127659574577E-2</v>
      </c>
    </row>
    <row r="41" spans="1:9" x14ac:dyDescent="0.35">
      <c r="A41" s="85">
        <v>43137</v>
      </c>
      <c r="B41">
        <v>0.1384</v>
      </c>
      <c r="H41">
        <v>0.24060000000000001</v>
      </c>
      <c r="I41">
        <f t="shared" si="0"/>
        <v>2.0824656393170216E-3</v>
      </c>
    </row>
    <row r="42" spans="1:9" x14ac:dyDescent="0.35">
      <c r="A42" s="85">
        <v>43138</v>
      </c>
      <c r="B42">
        <v>0.14000000000000001</v>
      </c>
      <c r="H42">
        <v>0.23499999999999999</v>
      </c>
      <c r="I42">
        <f t="shared" si="0"/>
        <v>-2.3275145469659253E-2</v>
      </c>
    </row>
    <row r="43" spans="1:9" x14ac:dyDescent="0.35">
      <c r="A43" s="85">
        <v>43139</v>
      </c>
      <c r="B43">
        <v>0.1358</v>
      </c>
      <c r="H43">
        <v>0.23930000000000001</v>
      </c>
      <c r="I43">
        <f t="shared" si="0"/>
        <v>1.829787234042568E-2</v>
      </c>
    </row>
    <row r="44" spans="1:9" x14ac:dyDescent="0.35">
      <c r="A44" s="85">
        <v>43140</v>
      </c>
      <c r="B44">
        <v>0.13669999999999999</v>
      </c>
      <c r="H44">
        <v>0.2354</v>
      </c>
      <c r="I44">
        <f t="shared" si="0"/>
        <v>-1.629753447555371E-2</v>
      </c>
    </row>
    <row r="45" spans="1:9" x14ac:dyDescent="0.35">
      <c r="A45" s="85">
        <v>43143</v>
      </c>
      <c r="B45">
        <v>0.13730000000000001</v>
      </c>
      <c r="H45">
        <v>0.2359</v>
      </c>
      <c r="I45">
        <f t="shared" si="0"/>
        <v>2.1240441801189114E-3</v>
      </c>
    </row>
    <row r="46" spans="1:9" x14ac:dyDescent="0.35">
      <c r="A46" s="85">
        <v>43144</v>
      </c>
      <c r="B46">
        <v>0.1348</v>
      </c>
      <c r="H46">
        <v>0.23830000000000001</v>
      </c>
      <c r="I46">
        <f t="shared" si="0"/>
        <v>1.0173802458669057E-2</v>
      </c>
    </row>
    <row r="47" spans="1:9" x14ac:dyDescent="0.35">
      <c r="A47" s="85">
        <v>43145</v>
      </c>
      <c r="B47">
        <v>0.13400000000000001</v>
      </c>
      <c r="H47">
        <v>0.23949999999999999</v>
      </c>
      <c r="I47">
        <f t="shared" si="0"/>
        <v>5.0356693243809314E-3</v>
      </c>
    </row>
    <row r="48" spans="1:9" x14ac:dyDescent="0.35">
      <c r="A48" s="85">
        <v>43146</v>
      </c>
      <c r="B48">
        <v>0.13619999999999999</v>
      </c>
      <c r="H48">
        <v>0.2399</v>
      </c>
      <c r="I48">
        <f t="shared" si="0"/>
        <v>1.670146137787043E-3</v>
      </c>
    </row>
    <row r="49" spans="1:9" x14ac:dyDescent="0.35">
      <c r="A49" s="85">
        <v>43147</v>
      </c>
      <c r="B49">
        <v>0.1338</v>
      </c>
      <c r="H49">
        <v>0.2361</v>
      </c>
      <c r="I49">
        <f t="shared" si="0"/>
        <v>-1.5839933305544007E-2</v>
      </c>
    </row>
    <row r="50" spans="1:9" x14ac:dyDescent="0.35">
      <c r="A50" s="85">
        <v>43151</v>
      </c>
      <c r="B50">
        <v>0.1336</v>
      </c>
      <c r="H50">
        <v>0.23300000000000001</v>
      </c>
      <c r="I50">
        <f t="shared" si="0"/>
        <v>-1.3130029648454E-2</v>
      </c>
    </row>
    <row r="51" spans="1:9" x14ac:dyDescent="0.35">
      <c r="A51" s="85">
        <v>43152</v>
      </c>
      <c r="B51">
        <v>0.1338</v>
      </c>
      <c r="H51">
        <v>0.23400000000000001</v>
      </c>
      <c r="I51">
        <f t="shared" si="0"/>
        <v>4.2918454935623185E-3</v>
      </c>
    </row>
    <row r="52" spans="1:9" x14ac:dyDescent="0.35">
      <c r="A52" s="85">
        <v>43153</v>
      </c>
      <c r="B52">
        <v>0.1371</v>
      </c>
      <c r="H52">
        <v>0.2276</v>
      </c>
      <c r="I52">
        <f t="shared" si="0"/>
        <v>-2.7350427350427475E-2</v>
      </c>
    </row>
    <row r="53" spans="1:9" x14ac:dyDescent="0.35">
      <c r="A53" s="85">
        <v>43154</v>
      </c>
      <c r="B53">
        <v>0.13639999999999999</v>
      </c>
      <c r="H53">
        <v>0.23050000000000001</v>
      </c>
      <c r="I53">
        <f t="shared" si="0"/>
        <v>1.2741652021089678E-2</v>
      </c>
    </row>
    <row r="54" spans="1:9" x14ac:dyDescent="0.35">
      <c r="A54" s="85">
        <v>43157</v>
      </c>
      <c r="B54">
        <v>0.13569999999999999</v>
      </c>
      <c r="H54">
        <v>0.23050000000000001</v>
      </c>
      <c r="I54">
        <f t="shared" si="0"/>
        <v>0</v>
      </c>
    </row>
    <row r="55" spans="1:9" x14ac:dyDescent="0.35">
      <c r="A55" s="85">
        <v>43158</v>
      </c>
      <c r="B55">
        <v>0.1293</v>
      </c>
      <c r="H55">
        <v>0.22789999999999999</v>
      </c>
      <c r="I55">
        <f t="shared" si="0"/>
        <v>-1.1279826464208331E-2</v>
      </c>
    </row>
    <row r="56" spans="1:9" x14ac:dyDescent="0.35">
      <c r="A56" s="85">
        <v>43159</v>
      </c>
      <c r="B56">
        <v>0.13400000000000001</v>
      </c>
      <c r="H56">
        <v>0.22839999999999999</v>
      </c>
      <c r="I56">
        <f t="shared" si="0"/>
        <v>2.1939447125931544E-3</v>
      </c>
    </row>
    <row r="57" spans="1:9" x14ac:dyDescent="0.35">
      <c r="A57" s="85">
        <v>43160</v>
      </c>
      <c r="B57">
        <v>0.1371</v>
      </c>
      <c r="H57">
        <v>0.2283</v>
      </c>
      <c r="I57">
        <f t="shared" si="0"/>
        <v>-4.3782837127837038E-4</v>
      </c>
    </row>
    <row r="58" spans="1:9" x14ac:dyDescent="0.35">
      <c r="A58" s="85">
        <v>43161</v>
      </c>
      <c r="B58">
        <v>0.13420000000000001</v>
      </c>
      <c r="H58">
        <v>0.22620000000000001</v>
      </c>
      <c r="I58">
        <f t="shared" si="0"/>
        <v>-9.1984231274637729E-3</v>
      </c>
    </row>
    <row r="59" spans="1:9" x14ac:dyDescent="0.35">
      <c r="A59" s="85">
        <v>43164</v>
      </c>
      <c r="B59">
        <v>0.1356</v>
      </c>
      <c r="H59">
        <v>0.23100000000000001</v>
      </c>
      <c r="I59">
        <f t="shared" si="0"/>
        <v>2.1220159151193574E-2</v>
      </c>
    </row>
    <row r="60" spans="1:9" x14ac:dyDescent="0.35">
      <c r="A60" s="85">
        <v>43165</v>
      </c>
      <c r="B60">
        <v>0.13450000000000001</v>
      </c>
      <c r="H60">
        <v>0.23630000000000001</v>
      </c>
      <c r="I60">
        <f t="shared" si="0"/>
        <v>2.2943722943723044E-2</v>
      </c>
    </row>
    <row r="61" spans="1:9" x14ac:dyDescent="0.35">
      <c r="A61" s="85">
        <v>43166</v>
      </c>
      <c r="B61">
        <v>0.12790000000000001</v>
      </c>
      <c r="H61">
        <v>0.2399</v>
      </c>
      <c r="I61">
        <f t="shared" si="0"/>
        <v>1.5234870926787991E-2</v>
      </c>
    </row>
    <row r="62" spans="1:9" x14ac:dyDescent="0.35">
      <c r="A62" s="85">
        <v>43167</v>
      </c>
      <c r="B62">
        <v>0.12889999999999999</v>
      </c>
      <c r="H62">
        <v>0.22559999999999999</v>
      </c>
      <c r="I62">
        <f t="shared" si="0"/>
        <v>-5.9608170070862943E-2</v>
      </c>
    </row>
    <row r="63" spans="1:9" x14ac:dyDescent="0.35">
      <c r="A63" s="85">
        <v>43168</v>
      </c>
      <c r="B63">
        <v>0.12839999999999999</v>
      </c>
      <c r="H63">
        <v>0.21</v>
      </c>
      <c r="I63">
        <f t="shared" si="0"/>
        <v>-6.9148936170212782E-2</v>
      </c>
    </row>
    <row r="64" spans="1:9" x14ac:dyDescent="0.35">
      <c r="A64" s="85">
        <v>43171</v>
      </c>
      <c r="B64">
        <v>0.1293</v>
      </c>
      <c r="H64">
        <v>0.20580000000000001</v>
      </c>
      <c r="I64">
        <f t="shared" si="0"/>
        <v>-1.9999999999999907E-2</v>
      </c>
    </row>
    <row r="65" spans="1:9" x14ac:dyDescent="0.35">
      <c r="A65" s="85">
        <v>43172</v>
      </c>
      <c r="B65">
        <v>0.12620000000000001</v>
      </c>
      <c r="H65">
        <v>0.20860000000000001</v>
      </c>
      <c r="I65">
        <f t="shared" si="0"/>
        <v>1.3605442176870763E-2</v>
      </c>
    </row>
    <row r="66" spans="1:9" x14ac:dyDescent="0.35">
      <c r="A66" s="85">
        <v>43173</v>
      </c>
      <c r="B66">
        <v>0.12759999999999999</v>
      </c>
      <c r="H66">
        <v>0.2145</v>
      </c>
      <c r="I66">
        <f t="shared" si="0"/>
        <v>2.8283796740172562E-2</v>
      </c>
    </row>
    <row r="67" spans="1:9" x14ac:dyDescent="0.35">
      <c r="A67" s="85">
        <v>43174</v>
      </c>
      <c r="B67">
        <v>0.12740000000000001</v>
      </c>
      <c r="H67">
        <v>0.21299999999999999</v>
      </c>
      <c r="I67">
        <f t="shared" si="0"/>
        <v>-6.9930069930069783E-3</v>
      </c>
    </row>
    <row r="68" spans="1:9" x14ac:dyDescent="0.35">
      <c r="A68" s="85">
        <v>43175</v>
      </c>
      <c r="B68">
        <v>0.1265</v>
      </c>
      <c r="H68">
        <v>0.21179999999999999</v>
      </c>
      <c r="I68">
        <f t="shared" si="0"/>
        <v>-5.6338028169014009E-3</v>
      </c>
    </row>
    <row r="69" spans="1:9" x14ac:dyDescent="0.35">
      <c r="A69" s="85">
        <v>43178</v>
      </c>
      <c r="B69">
        <v>0.12889999999999999</v>
      </c>
      <c r="H69">
        <v>0.2195</v>
      </c>
      <c r="I69">
        <f t="shared" si="0"/>
        <v>3.6355051935788474E-2</v>
      </c>
    </row>
    <row r="70" spans="1:9" x14ac:dyDescent="0.35">
      <c r="A70" s="85">
        <v>43179</v>
      </c>
      <c r="B70">
        <v>0.12559999999999999</v>
      </c>
      <c r="H70">
        <v>0.21890000000000001</v>
      </c>
      <c r="I70">
        <f t="shared" si="0"/>
        <v>-2.7334851936218207E-3</v>
      </c>
    </row>
    <row r="71" spans="1:9" x14ac:dyDescent="0.35">
      <c r="A71" s="85">
        <v>43180</v>
      </c>
      <c r="B71">
        <v>0.12670000000000001</v>
      </c>
      <c r="H71">
        <v>0.21929999999999999</v>
      </c>
      <c r="I71">
        <f t="shared" si="0"/>
        <v>1.8273184102328699E-3</v>
      </c>
    </row>
    <row r="72" spans="1:9" x14ac:dyDescent="0.35">
      <c r="A72" s="85">
        <v>43181</v>
      </c>
      <c r="B72">
        <v>0.12770000000000001</v>
      </c>
      <c r="H72">
        <v>0.2177</v>
      </c>
      <c r="I72">
        <f t="shared" si="0"/>
        <v>-7.2959416324669402E-3</v>
      </c>
    </row>
    <row r="73" spans="1:9" x14ac:dyDescent="0.35">
      <c r="A73" s="85">
        <v>43182</v>
      </c>
      <c r="B73">
        <v>0.12570000000000001</v>
      </c>
      <c r="H73">
        <v>0.2213</v>
      </c>
      <c r="I73">
        <f t="shared" si="0"/>
        <v>1.6536518144235179E-2</v>
      </c>
    </row>
    <row r="74" spans="1:9" x14ac:dyDescent="0.35">
      <c r="A74" s="85">
        <v>43185</v>
      </c>
      <c r="B74">
        <v>0.1242</v>
      </c>
      <c r="H74">
        <v>0.22159999999999999</v>
      </c>
      <c r="I74">
        <f t="shared" si="0"/>
        <v>1.3556258472662286E-3</v>
      </c>
    </row>
    <row r="75" spans="1:9" x14ac:dyDescent="0.35">
      <c r="A75" s="85">
        <v>43186</v>
      </c>
      <c r="B75">
        <v>0.12540000000000001</v>
      </c>
      <c r="H75">
        <v>0.21640000000000001</v>
      </c>
      <c r="I75">
        <f t="shared" si="0"/>
        <v>-2.3465703971119023E-2</v>
      </c>
    </row>
    <row r="76" spans="1:9" x14ac:dyDescent="0.35">
      <c r="A76" s="85">
        <v>43187</v>
      </c>
      <c r="B76">
        <v>0.1221</v>
      </c>
      <c r="H76">
        <v>0.2177</v>
      </c>
      <c r="I76">
        <f t="shared" si="0"/>
        <v>6.0073937153419799E-3</v>
      </c>
    </row>
    <row r="77" spans="1:9" x14ac:dyDescent="0.35">
      <c r="A77" s="85">
        <v>43188</v>
      </c>
      <c r="B77">
        <v>0.1235</v>
      </c>
      <c r="H77">
        <v>0.22059999999999999</v>
      </c>
      <c r="I77">
        <f t="shared" si="0"/>
        <v>1.3321084060633925E-2</v>
      </c>
    </row>
    <row r="78" spans="1:9" x14ac:dyDescent="0.35">
      <c r="A78" s="85">
        <v>43192</v>
      </c>
      <c r="B78">
        <v>0.12520000000000001</v>
      </c>
      <c r="H78">
        <v>0.21859999999999999</v>
      </c>
      <c r="I78">
        <f t="shared" si="0"/>
        <v>-9.0661831368993306E-3</v>
      </c>
    </row>
    <row r="79" spans="1:9" x14ac:dyDescent="0.35">
      <c r="A79" s="85">
        <v>43193</v>
      </c>
      <c r="B79">
        <v>0.12470000000000001</v>
      </c>
      <c r="H79">
        <v>0.21970000000000001</v>
      </c>
      <c r="I79">
        <f t="shared" si="0"/>
        <v>5.032021957914079E-3</v>
      </c>
    </row>
    <row r="80" spans="1:9" x14ac:dyDescent="0.35">
      <c r="A80" s="85">
        <v>43194</v>
      </c>
      <c r="B80">
        <v>0.1227</v>
      </c>
      <c r="H80">
        <v>0.22389999999999999</v>
      </c>
      <c r="I80">
        <f t="shared" si="0"/>
        <v>1.9116977696859161E-2</v>
      </c>
    </row>
    <row r="81" spans="1:9" x14ac:dyDescent="0.35">
      <c r="A81" s="85">
        <v>43195</v>
      </c>
      <c r="B81">
        <v>0.1235</v>
      </c>
      <c r="H81">
        <v>0.22170000000000001</v>
      </c>
      <c r="I81">
        <f t="shared" si="0"/>
        <v>-9.8258150960248702E-3</v>
      </c>
    </row>
    <row r="82" spans="1:9" x14ac:dyDescent="0.35">
      <c r="A82" s="85">
        <v>43196</v>
      </c>
      <c r="B82">
        <v>0.1234</v>
      </c>
      <c r="H82">
        <v>0.22509999999999999</v>
      </c>
      <c r="I82">
        <f t="shared" si="0"/>
        <v>1.5336039693279124E-2</v>
      </c>
    </row>
    <row r="83" spans="1:9" x14ac:dyDescent="0.35">
      <c r="A83" s="85">
        <v>43199</v>
      </c>
      <c r="B83">
        <v>0.1236</v>
      </c>
      <c r="H83">
        <v>0.22509999999999999</v>
      </c>
      <c r="I83">
        <f t="shared" si="0"/>
        <v>0</v>
      </c>
    </row>
    <row r="84" spans="1:9" x14ac:dyDescent="0.35">
      <c r="A84" s="85">
        <v>43200</v>
      </c>
      <c r="B84">
        <v>0.12130000000000001</v>
      </c>
      <c r="H84">
        <v>0.2263</v>
      </c>
      <c r="I84">
        <f t="shared" si="0"/>
        <v>5.3309640159928673E-3</v>
      </c>
    </row>
    <row r="85" spans="1:9" x14ac:dyDescent="0.35">
      <c r="A85" s="85">
        <v>43201</v>
      </c>
      <c r="B85">
        <v>0.1206</v>
      </c>
      <c r="H85">
        <v>0.22320000000000001</v>
      </c>
      <c r="I85">
        <f t="shared" ref="I85:I148" si="1">H85/H84-1</f>
        <v>-1.3698630136986245E-2</v>
      </c>
    </row>
    <row r="86" spans="1:9" x14ac:dyDescent="0.35">
      <c r="A86" s="85">
        <v>43202</v>
      </c>
      <c r="B86">
        <v>0.1205</v>
      </c>
      <c r="H86">
        <v>0.22220000000000001</v>
      </c>
      <c r="I86">
        <f t="shared" si="1"/>
        <v>-4.4802867383512135E-3</v>
      </c>
    </row>
    <row r="87" spans="1:9" x14ac:dyDescent="0.35">
      <c r="A87" s="85">
        <v>43203</v>
      </c>
      <c r="B87">
        <v>0.1208</v>
      </c>
      <c r="H87">
        <v>0.22359999999999999</v>
      </c>
      <c r="I87">
        <f t="shared" si="1"/>
        <v>6.3006300630061851E-3</v>
      </c>
    </row>
    <row r="88" spans="1:9" x14ac:dyDescent="0.35">
      <c r="A88" s="85">
        <v>43206</v>
      </c>
      <c r="B88">
        <v>0.1198</v>
      </c>
      <c r="H88">
        <v>0.21940000000000001</v>
      </c>
      <c r="I88">
        <f t="shared" si="1"/>
        <v>-1.8783542039355949E-2</v>
      </c>
    </row>
    <row r="89" spans="1:9" x14ac:dyDescent="0.35">
      <c r="A89" s="85">
        <v>43207</v>
      </c>
      <c r="B89">
        <v>0.11650000000000001</v>
      </c>
      <c r="H89">
        <v>0.21590000000000001</v>
      </c>
      <c r="I89">
        <f t="shared" si="1"/>
        <v>-1.5952597994530526E-2</v>
      </c>
    </row>
    <row r="90" spans="1:9" x14ac:dyDescent="0.35">
      <c r="A90" s="85">
        <v>43208</v>
      </c>
      <c r="B90">
        <v>0.1174</v>
      </c>
      <c r="H90">
        <v>0.21490000000000001</v>
      </c>
      <c r="I90">
        <f t="shared" si="1"/>
        <v>-4.631773969430264E-3</v>
      </c>
    </row>
    <row r="91" spans="1:9" x14ac:dyDescent="0.35">
      <c r="A91" s="85">
        <v>43209</v>
      </c>
      <c r="B91">
        <v>0.11749999999999999</v>
      </c>
      <c r="H91">
        <v>0.2142</v>
      </c>
      <c r="I91">
        <f t="shared" si="1"/>
        <v>-3.2573289902280145E-3</v>
      </c>
    </row>
    <row r="92" spans="1:9" x14ac:dyDescent="0.35">
      <c r="A92" s="85">
        <v>43210</v>
      </c>
      <c r="B92">
        <v>0.1164</v>
      </c>
      <c r="H92">
        <v>0.21460000000000001</v>
      </c>
      <c r="I92">
        <f t="shared" si="1"/>
        <v>1.8674136321195078E-3</v>
      </c>
    </row>
    <row r="93" spans="1:9" x14ac:dyDescent="0.35">
      <c r="A93" s="85">
        <v>43213</v>
      </c>
      <c r="B93">
        <v>0.11210000000000001</v>
      </c>
      <c r="H93">
        <v>0.20849999999999999</v>
      </c>
      <c r="I93">
        <f t="shared" si="1"/>
        <v>-2.8424976700838878E-2</v>
      </c>
    </row>
    <row r="94" spans="1:9" x14ac:dyDescent="0.35">
      <c r="A94" s="85">
        <v>43214</v>
      </c>
      <c r="B94">
        <v>0.1114</v>
      </c>
      <c r="H94">
        <v>0.20449999999999999</v>
      </c>
      <c r="I94">
        <f t="shared" si="1"/>
        <v>-1.918465227817745E-2</v>
      </c>
    </row>
    <row r="95" spans="1:9" x14ac:dyDescent="0.35">
      <c r="A95" s="85">
        <v>43215</v>
      </c>
      <c r="B95">
        <v>0.1091</v>
      </c>
      <c r="H95">
        <v>0.20019999999999999</v>
      </c>
      <c r="I95">
        <f t="shared" si="1"/>
        <v>-2.1026894865525669E-2</v>
      </c>
    </row>
    <row r="96" spans="1:9" x14ac:dyDescent="0.35">
      <c r="A96" s="85">
        <v>43216</v>
      </c>
      <c r="B96">
        <v>0.1113</v>
      </c>
      <c r="H96">
        <v>0.1963</v>
      </c>
      <c r="I96">
        <f t="shared" si="1"/>
        <v>-1.9480519480519431E-2</v>
      </c>
    </row>
    <row r="97" spans="1:9" x14ac:dyDescent="0.35">
      <c r="A97" s="85">
        <v>43217</v>
      </c>
      <c r="B97">
        <v>0.114</v>
      </c>
      <c r="H97">
        <v>0.19320000000000001</v>
      </c>
      <c r="I97">
        <f t="shared" si="1"/>
        <v>-1.5792154865002517E-2</v>
      </c>
    </row>
    <row r="98" spans="1:9" x14ac:dyDescent="0.35">
      <c r="A98" s="85">
        <v>43220</v>
      </c>
      <c r="B98">
        <v>0.11700000000000001</v>
      </c>
      <c r="H98">
        <v>0.19589999999999999</v>
      </c>
      <c r="I98">
        <f t="shared" si="1"/>
        <v>1.3975155279503104E-2</v>
      </c>
    </row>
    <row r="99" spans="1:9" x14ac:dyDescent="0.35">
      <c r="A99" s="85">
        <v>43221</v>
      </c>
      <c r="B99">
        <v>0.1169</v>
      </c>
      <c r="H99">
        <v>0.1973</v>
      </c>
      <c r="I99">
        <f t="shared" si="1"/>
        <v>7.1465033180193593E-3</v>
      </c>
    </row>
    <row r="100" spans="1:9" x14ac:dyDescent="0.35">
      <c r="A100" s="85">
        <v>43222</v>
      </c>
      <c r="B100">
        <v>0.11749999999999999</v>
      </c>
      <c r="H100">
        <v>0.19800000000000001</v>
      </c>
      <c r="I100">
        <f t="shared" si="1"/>
        <v>3.5478966041562199E-3</v>
      </c>
    </row>
    <row r="101" spans="1:9" x14ac:dyDescent="0.35">
      <c r="A101" s="85">
        <v>43223</v>
      </c>
      <c r="B101">
        <v>0.1169</v>
      </c>
      <c r="H101">
        <v>0.19869999999999999</v>
      </c>
      <c r="I101">
        <f t="shared" si="1"/>
        <v>3.5353535353535026E-3</v>
      </c>
    </row>
    <row r="102" spans="1:9" x14ac:dyDescent="0.35">
      <c r="A102" s="85">
        <v>43224</v>
      </c>
      <c r="B102">
        <v>0.11509999999999999</v>
      </c>
      <c r="H102">
        <v>0.19869999999999999</v>
      </c>
      <c r="I102">
        <f t="shared" si="1"/>
        <v>0</v>
      </c>
    </row>
    <row r="103" spans="1:9" x14ac:dyDescent="0.35">
      <c r="A103" s="85">
        <v>43227</v>
      </c>
      <c r="B103">
        <v>0.1132</v>
      </c>
      <c r="H103">
        <v>0.19420000000000001</v>
      </c>
      <c r="I103">
        <f t="shared" si="1"/>
        <v>-2.2647206844489065E-2</v>
      </c>
    </row>
    <row r="104" spans="1:9" x14ac:dyDescent="0.35">
      <c r="A104" s="85">
        <v>43228</v>
      </c>
      <c r="B104">
        <v>0.11559999999999999</v>
      </c>
      <c r="H104">
        <v>0.19409999999999999</v>
      </c>
      <c r="I104">
        <f t="shared" si="1"/>
        <v>-5.14933058702427E-4</v>
      </c>
    </row>
    <row r="105" spans="1:9" x14ac:dyDescent="0.35">
      <c r="A105" s="85">
        <v>43229</v>
      </c>
      <c r="B105">
        <v>0.1129</v>
      </c>
      <c r="H105">
        <v>0.19719999999999999</v>
      </c>
      <c r="I105">
        <f t="shared" si="1"/>
        <v>1.5971148892323539E-2</v>
      </c>
    </row>
    <row r="106" spans="1:9" x14ac:dyDescent="0.35">
      <c r="A106" s="85">
        <v>43230</v>
      </c>
      <c r="B106">
        <v>0.11269999999999999</v>
      </c>
      <c r="H106">
        <v>0.19220000000000001</v>
      </c>
      <c r="I106">
        <f t="shared" si="1"/>
        <v>-2.5354969574036379E-2</v>
      </c>
    </row>
    <row r="107" spans="1:9" x14ac:dyDescent="0.35">
      <c r="A107" s="85">
        <v>43231</v>
      </c>
      <c r="B107">
        <v>0.11219999999999999</v>
      </c>
      <c r="H107">
        <v>0.19259999999999999</v>
      </c>
      <c r="I107">
        <f t="shared" si="1"/>
        <v>2.0811654526533552E-3</v>
      </c>
    </row>
    <row r="108" spans="1:9" x14ac:dyDescent="0.35">
      <c r="A108" s="85">
        <v>43234</v>
      </c>
      <c r="B108">
        <v>0.11260000000000001</v>
      </c>
      <c r="H108">
        <v>0.19320000000000001</v>
      </c>
      <c r="I108">
        <f t="shared" si="1"/>
        <v>3.1152647975078995E-3</v>
      </c>
    </row>
    <row r="109" spans="1:9" x14ac:dyDescent="0.35">
      <c r="A109" s="85">
        <v>43235</v>
      </c>
      <c r="B109">
        <v>0.1152</v>
      </c>
      <c r="H109">
        <v>0.1948</v>
      </c>
      <c r="I109">
        <f t="shared" si="1"/>
        <v>8.2815734989647449E-3</v>
      </c>
    </row>
    <row r="110" spans="1:9" x14ac:dyDescent="0.35">
      <c r="A110" s="85">
        <v>43236</v>
      </c>
      <c r="B110">
        <v>0.11609999999999999</v>
      </c>
      <c r="H110">
        <v>0.19950000000000001</v>
      </c>
      <c r="I110">
        <f t="shared" si="1"/>
        <v>2.4127310061601737E-2</v>
      </c>
    </row>
    <row r="111" spans="1:9" x14ac:dyDescent="0.35">
      <c r="A111" s="85">
        <v>43237</v>
      </c>
      <c r="B111">
        <v>0.11559999999999999</v>
      </c>
      <c r="H111">
        <v>0.1963</v>
      </c>
      <c r="I111">
        <f t="shared" si="1"/>
        <v>-1.6040100250626632E-2</v>
      </c>
    </row>
    <row r="112" spans="1:9" x14ac:dyDescent="0.35">
      <c r="A112" s="85">
        <v>43238</v>
      </c>
      <c r="B112">
        <v>0.1166</v>
      </c>
      <c r="H112">
        <v>0.19550000000000001</v>
      </c>
      <c r="I112">
        <f t="shared" si="1"/>
        <v>-4.0753948038716459E-3</v>
      </c>
    </row>
    <row r="113" spans="1:9" x14ac:dyDescent="0.35">
      <c r="A113" s="85">
        <v>43241</v>
      </c>
      <c r="B113">
        <v>0.121</v>
      </c>
      <c r="H113">
        <v>0.19259999999999999</v>
      </c>
      <c r="I113">
        <f t="shared" si="1"/>
        <v>-1.4833759590792917E-2</v>
      </c>
    </row>
    <row r="114" spans="1:9" x14ac:dyDescent="0.35">
      <c r="A114" s="85">
        <v>43242</v>
      </c>
      <c r="B114">
        <v>0.1215</v>
      </c>
      <c r="H114">
        <v>0.1862</v>
      </c>
      <c r="I114">
        <f t="shared" si="1"/>
        <v>-3.3229491173416337E-2</v>
      </c>
    </row>
    <row r="115" spans="1:9" x14ac:dyDescent="0.35">
      <c r="A115" s="85">
        <v>43243</v>
      </c>
      <c r="B115">
        <v>0.1235</v>
      </c>
      <c r="H115">
        <v>0.189</v>
      </c>
      <c r="I115">
        <f t="shared" si="1"/>
        <v>1.5037593984962294E-2</v>
      </c>
    </row>
    <row r="116" spans="1:9" x14ac:dyDescent="0.35">
      <c r="A116" s="85">
        <v>43244</v>
      </c>
      <c r="B116">
        <v>0.12379999999999999</v>
      </c>
      <c r="H116">
        <v>0.18629999999999999</v>
      </c>
      <c r="I116">
        <f t="shared" si="1"/>
        <v>-1.4285714285714346E-2</v>
      </c>
    </row>
    <row r="117" spans="1:9" x14ac:dyDescent="0.35">
      <c r="A117" s="85">
        <v>43245</v>
      </c>
      <c r="B117">
        <v>0.1246</v>
      </c>
      <c r="H117">
        <v>0.18329999999999999</v>
      </c>
      <c r="I117">
        <f t="shared" si="1"/>
        <v>-1.6103059581320411E-2</v>
      </c>
    </row>
    <row r="118" spans="1:9" x14ac:dyDescent="0.35">
      <c r="A118" s="85">
        <v>43249</v>
      </c>
      <c r="B118">
        <v>0.1246</v>
      </c>
      <c r="H118">
        <v>0.18099999999999999</v>
      </c>
      <c r="I118">
        <f t="shared" si="1"/>
        <v>-1.2547735951991212E-2</v>
      </c>
    </row>
    <row r="119" spans="1:9" x14ac:dyDescent="0.35">
      <c r="A119" s="85">
        <v>43250</v>
      </c>
      <c r="B119">
        <v>0.126</v>
      </c>
      <c r="H119">
        <v>0.1867</v>
      </c>
      <c r="I119">
        <f t="shared" si="1"/>
        <v>3.1491712707182318E-2</v>
      </c>
    </row>
    <row r="120" spans="1:9" x14ac:dyDescent="0.35">
      <c r="A120" s="85">
        <v>43251</v>
      </c>
      <c r="B120">
        <v>0.12790000000000001</v>
      </c>
      <c r="H120">
        <v>0.1857</v>
      </c>
      <c r="I120">
        <f t="shared" si="1"/>
        <v>-5.3561863952865663E-3</v>
      </c>
    </row>
    <row r="121" spans="1:9" x14ac:dyDescent="0.35">
      <c r="A121" s="85">
        <v>43252</v>
      </c>
      <c r="B121">
        <v>0.12520000000000001</v>
      </c>
      <c r="H121">
        <v>0.18210000000000001</v>
      </c>
      <c r="I121">
        <f t="shared" si="1"/>
        <v>-1.9386106623586419E-2</v>
      </c>
    </row>
    <row r="122" spans="1:9" x14ac:dyDescent="0.35">
      <c r="A122" s="85">
        <v>43255</v>
      </c>
      <c r="B122">
        <v>0.11899999999999999</v>
      </c>
      <c r="H122">
        <v>0.18260000000000001</v>
      </c>
      <c r="I122">
        <f t="shared" si="1"/>
        <v>2.7457440966502933E-3</v>
      </c>
    </row>
    <row r="123" spans="1:9" x14ac:dyDescent="0.35">
      <c r="A123" s="85">
        <v>43256</v>
      </c>
      <c r="B123">
        <v>0.1202</v>
      </c>
      <c r="H123">
        <v>0.1845</v>
      </c>
      <c r="I123">
        <f t="shared" si="1"/>
        <v>1.0405257393209189E-2</v>
      </c>
    </row>
    <row r="124" spans="1:9" x14ac:dyDescent="0.35">
      <c r="A124" s="85">
        <v>43257</v>
      </c>
      <c r="B124">
        <v>0.122</v>
      </c>
      <c r="H124">
        <v>0.1845</v>
      </c>
      <c r="I124">
        <f t="shared" si="1"/>
        <v>0</v>
      </c>
    </row>
    <row r="125" spans="1:9" x14ac:dyDescent="0.35">
      <c r="A125" s="85">
        <v>43258</v>
      </c>
      <c r="B125">
        <v>0.1173</v>
      </c>
      <c r="H125">
        <v>0.187</v>
      </c>
      <c r="I125">
        <f t="shared" si="1"/>
        <v>1.3550135501354976E-2</v>
      </c>
    </row>
    <row r="126" spans="1:9" x14ac:dyDescent="0.35">
      <c r="A126" s="85">
        <v>43259</v>
      </c>
      <c r="B126">
        <v>0.1225</v>
      </c>
      <c r="H126">
        <v>0.1832</v>
      </c>
      <c r="I126">
        <f t="shared" si="1"/>
        <v>-2.032085561497321E-2</v>
      </c>
    </row>
    <row r="127" spans="1:9" x14ac:dyDescent="0.35">
      <c r="A127" s="85">
        <v>43262</v>
      </c>
      <c r="B127">
        <v>0.1235</v>
      </c>
      <c r="H127">
        <v>0.18160000000000001</v>
      </c>
      <c r="I127">
        <f t="shared" si="1"/>
        <v>-8.733624454148381E-3</v>
      </c>
    </row>
    <row r="128" spans="1:9" x14ac:dyDescent="0.35">
      <c r="A128" s="85">
        <v>43263</v>
      </c>
      <c r="B128">
        <v>0.1235</v>
      </c>
      <c r="H128">
        <v>0.1832</v>
      </c>
      <c r="I128">
        <f t="shared" si="1"/>
        <v>8.810572687224516E-3</v>
      </c>
    </row>
    <row r="129" spans="1:9" x14ac:dyDescent="0.35">
      <c r="A129" s="85">
        <v>43264</v>
      </c>
      <c r="B129">
        <v>0.12509999999999999</v>
      </c>
      <c r="H129">
        <v>0.18770000000000001</v>
      </c>
      <c r="I129">
        <f t="shared" si="1"/>
        <v>2.4563318777292675E-2</v>
      </c>
    </row>
    <row r="130" spans="1:9" x14ac:dyDescent="0.35">
      <c r="A130" s="85">
        <v>43265</v>
      </c>
      <c r="B130">
        <v>0.12230000000000001</v>
      </c>
      <c r="H130">
        <v>0.18859999999999999</v>
      </c>
      <c r="I130">
        <f t="shared" si="1"/>
        <v>4.7948854555139864E-3</v>
      </c>
    </row>
    <row r="131" spans="1:9" x14ac:dyDescent="0.35">
      <c r="A131" s="85">
        <v>43266</v>
      </c>
      <c r="B131">
        <v>0.1202</v>
      </c>
      <c r="H131">
        <v>0.19139999999999999</v>
      </c>
      <c r="I131">
        <f t="shared" si="1"/>
        <v>1.4846235418875864E-2</v>
      </c>
    </row>
    <row r="132" spans="1:9" x14ac:dyDescent="0.35">
      <c r="A132" s="85">
        <v>43269</v>
      </c>
      <c r="B132">
        <v>0.11990000000000001</v>
      </c>
      <c r="H132">
        <v>0.19220000000000001</v>
      </c>
      <c r="I132">
        <f t="shared" si="1"/>
        <v>4.179728317659448E-3</v>
      </c>
    </row>
    <row r="133" spans="1:9" x14ac:dyDescent="0.35">
      <c r="A133" s="85">
        <v>43270</v>
      </c>
      <c r="B133">
        <v>0.11840000000000001</v>
      </c>
      <c r="H133">
        <v>0.18959999999999999</v>
      </c>
      <c r="I133">
        <f t="shared" si="1"/>
        <v>-1.3527575442247808E-2</v>
      </c>
    </row>
    <row r="134" spans="1:9" x14ac:dyDescent="0.35">
      <c r="A134" s="85">
        <v>43271</v>
      </c>
      <c r="B134">
        <v>0.11890000000000001</v>
      </c>
      <c r="H134">
        <v>0.18609999999999999</v>
      </c>
      <c r="I134">
        <f t="shared" si="1"/>
        <v>-1.845991561181437E-2</v>
      </c>
    </row>
    <row r="135" spans="1:9" x14ac:dyDescent="0.35">
      <c r="A135" s="85">
        <v>43272</v>
      </c>
      <c r="B135">
        <v>0.1187</v>
      </c>
      <c r="H135">
        <v>0.18740000000000001</v>
      </c>
      <c r="I135">
        <f t="shared" si="1"/>
        <v>6.9854916711447057E-3</v>
      </c>
    </row>
    <row r="136" spans="1:9" x14ac:dyDescent="0.35">
      <c r="A136" s="85">
        <v>43273</v>
      </c>
      <c r="B136">
        <v>0.1205</v>
      </c>
      <c r="H136">
        <v>0.19089999999999999</v>
      </c>
      <c r="I136">
        <f t="shared" si="1"/>
        <v>1.867662753468502E-2</v>
      </c>
    </row>
    <row r="137" spans="1:9" x14ac:dyDescent="0.35">
      <c r="A137" s="85">
        <v>43276</v>
      </c>
      <c r="B137">
        <v>0.12</v>
      </c>
      <c r="H137">
        <v>0.1953</v>
      </c>
      <c r="I137">
        <f t="shared" si="1"/>
        <v>2.3048716605552633E-2</v>
      </c>
    </row>
    <row r="138" spans="1:9" x14ac:dyDescent="0.35">
      <c r="A138" s="85">
        <v>43277</v>
      </c>
      <c r="B138">
        <v>0.12189999999999999</v>
      </c>
      <c r="H138">
        <v>0.19350000000000001</v>
      </c>
      <c r="I138">
        <f t="shared" si="1"/>
        <v>-9.2165898617511122E-3</v>
      </c>
    </row>
    <row r="139" spans="1:9" x14ac:dyDescent="0.35">
      <c r="A139" s="85">
        <v>43278</v>
      </c>
      <c r="B139">
        <v>0.11849999999999999</v>
      </c>
      <c r="H139">
        <v>0.18959999999999999</v>
      </c>
      <c r="I139">
        <f t="shared" si="1"/>
        <v>-2.0155038759690047E-2</v>
      </c>
    </row>
    <row r="140" spans="1:9" x14ac:dyDescent="0.35">
      <c r="A140" s="85">
        <v>43279</v>
      </c>
      <c r="B140">
        <v>0.121</v>
      </c>
      <c r="H140">
        <v>0.189</v>
      </c>
      <c r="I140">
        <f t="shared" si="1"/>
        <v>-3.1645569620252223E-3</v>
      </c>
    </row>
    <row r="141" spans="1:9" x14ac:dyDescent="0.35">
      <c r="A141" s="85">
        <v>43280</v>
      </c>
      <c r="B141">
        <v>0.1217</v>
      </c>
      <c r="H141">
        <v>0.189</v>
      </c>
      <c r="I141">
        <f t="shared" si="1"/>
        <v>0</v>
      </c>
    </row>
    <row r="142" spans="1:9" x14ac:dyDescent="0.35">
      <c r="A142" s="85">
        <v>43283</v>
      </c>
      <c r="B142">
        <v>0.11559999999999999</v>
      </c>
      <c r="H142">
        <v>0.18920000000000001</v>
      </c>
      <c r="I142">
        <f t="shared" si="1"/>
        <v>1.0582010582009804E-3</v>
      </c>
    </row>
    <row r="143" spans="1:9" x14ac:dyDescent="0.35">
      <c r="A143" s="85">
        <v>43284</v>
      </c>
      <c r="B143">
        <v>0.1139</v>
      </c>
      <c r="H143">
        <v>0.18990000000000001</v>
      </c>
      <c r="I143">
        <f t="shared" si="1"/>
        <v>3.6997885835095001E-3</v>
      </c>
    </row>
    <row r="144" spans="1:9" x14ac:dyDescent="0.35">
      <c r="A144" s="85">
        <v>43286</v>
      </c>
      <c r="B144">
        <v>0.1148</v>
      </c>
      <c r="H144">
        <v>0.19420000000000001</v>
      </c>
      <c r="I144">
        <f t="shared" si="1"/>
        <v>2.2643496577145816E-2</v>
      </c>
    </row>
    <row r="145" spans="1:9" x14ac:dyDescent="0.35">
      <c r="A145" s="85">
        <v>43287</v>
      </c>
      <c r="B145">
        <v>0.11509999999999999</v>
      </c>
      <c r="H145">
        <v>0.19170000000000001</v>
      </c>
      <c r="I145">
        <f t="shared" si="1"/>
        <v>-1.2873326467559232E-2</v>
      </c>
    </row>
    <row r="146" spans="1:9" x14ac:dyDescent="0.35">
      <c r="A146" s="85">
        <v>43290</v>
      </c>
      <c r="B146">
        <v>0.114</v>
      </c>
      <c r="H146">
        <v>0.19259999999999999</v>
      </c>
      <c r="I146">
        <f t="shared" si="1"/>
        <v>4.6948356807510194E-3</v>
      </c>
    </row>
    <row r="147" spans="1:9" x14ac:dyDescent="0.35">
      <c r="A147" s="85">
        <v>43291</v>
      </c>
      <c r="B147">
        <v>0.11409999999999999</v>
      </c>
      <c r="H147">
        <v>0.20150000000000001</v>
      </c>
      <c r="I147">
        <f t="shared" si="1"/>
        <v>4.6209761163032326E-2</v>
      </c>
    </row>
    <row r="148" spans="1:9" x14ac:dyDescent="0.35">
      <c r="A148" s="85">
        <v>43292</v>
      </c>
      <c r="B148">
        <v>0.1129</v>
      </c>
      <c r="H148">
        <v>0.20330000000000001</v>
      </c>
      <c r="I148">
        <f t="shared" si="1"/>
        <v>8.9330024813896181E-3</v>
      </c>
    </row>
    <row r="149" spans="1:9" x14ac:dyDescent="0.35">
      <c r="A149" s="85">
        <v>43293</v>
      </c>
      <c r="B149">
        <v>0.1108</v>
      </c>
      <c r="H149">
        <v>0.20169999999999999</v>
      </c>
      <c r="I149">
        <f t="shared" ref="I149:I200" si="2">H149/H148-1</f>
        <v>-7.870142646335565E-3</v>
      </c>
    </row>
    <row r="150" spans="1:9" x14ac:dyDescent="0.35">
      <c r="A150" s="85">
        <v>43294</v>
      </c>
      <c r="B150">
        <v>0.1096</v>
      </c>
      <c r="H150">
        <v>0.20619999999999999</v>
      </c>
      <c r="I150">
        <f t="shared" si="2"/>
        <v>2.2310361923649102E-2</v>
      </c>
    </row>
    <row r="151" spans="1:9" x14ac:dyDescent="0.35">
      <c r="A151" s="85">
        <v>43297</v>
      </c>
      <c r="B151">
        <v>0.1114</v>
      </c>
      <c r="H151">
        <v>0.20519999999999999</v>
      </c>
      <c r="I151">
        <f t="shared" si="2"/>
        <v>-4.8496605237633439E-3</v>
      </c>
    </row>
    <row r="152" spans="1:9" x14ac:dyDescent="0.35">
      <c r="A152" s="85">
        <v>43298</v>
      </c>
      <c r="B152">
        <v>0.1113</v>
      </c>
      <c r="H152">
        <v>0.20519999999999999</v>
      </c>
      <c r="I152">
        <f t="shared" si="2"/>
        <v>0</v>
      </c>
    </row>
    <row r="153" spans="1:9" x14ac:dyDescent="0.35">
      <c r="A153" s="85">
        <v>43299</v>
      </c>
      <c r="B153">
        <v>0.1108</v>
      </c>
      <c r="H153">
        <v>0.20080000000000001</v>
      </c>
      <c r="I153">
        <f t="shared" si="2"/>
        <v>-2.1442495126705596E-2</v>
      </c>
    </row>
    <row r="154" spans="1:9" x14ac:dyDescent="0.35">
      <c r="A154" s="85">
        <v>43300</v>
      </c>
      <c r="B154">
        <v>0.10970000000000001</v>
      </c>
      <c r="H154">
        <v>0.20219999999999999</v>
      </c>
      <c r="I154">
        <f t="shared" si="2"/>
        <v>6.9721115537848544E-3</v>
      </c>
    </row>
    <row r="155" spans="1:9" x14ac:dyDescent="0.35">
      <c r="A155" s="85">
        <v>43301</v>
      </c>
      <c r="B155">
        <v>0.11119999999999999</v>
      </c>
      <c r="H155">
        <v>0.19650000000000001</v>
      </c>
      <c r="I155">
        <f t="shared" si="2"/>
        <v>-2.8189910979228405E-2</v>
      </c>
    </row>
    <row r="156" spans="1:9" x14ac:dyDescent="0.35">
      <c r="A156" s="85">
        <v>43304</v>
      </c>
      <c r="B156">
        <v>0.1108</v>
      </c>
      <c r="H156">
        <v>0.1978</v>
      </c>
      <c r="I156">
        <f t="shared" si="2"/>
        <v>6.61577608142494E-3</v>
      </c>
    </row>
    <row r="157" spans="1:9" x14ac:dyDescent="0.35">
      <c r="A157" s="85">
        <v>43305</v>
      </c>
      <c r="B157">
        <v>0.1119</v>
      </c>
      <c r="H157">
        <v>0.19420000000000001</v>
      </c>
      <c r="I157">
        <f t="shared" si="2"/>
        <v>-1.8200202224469164E-2</v>
      </c>
    </row>
    <row r="158" spans="1:9" x14ac:dyDescent="0.35">
      <c r="A158" s="85">
        <v>43306</v>
      </c>
      <c r="B158">
        <v>0.1119</v>
      </c>
      <c r="H158">
        <v>0.192</v>
      </c>
      <c r="I158">
        <f t="shared" si="2"/>
        <v>-1.1328527291452173E-2</v>
      </c>
    </row>
    <row r="159" spans="1:9" x14ac:dyDescent="0.35">
      <c r="A159" s="85">
        <v>43307</v>
      </c>
      <c r="B159">
        <v>0.1103</v>
      </c>
      <c r="H159">
        <v>0.19789999999999999</v>
      </c>
      <c r="I159">
        <f t="shared" si="2"/>
        <v>3.0729166666666696E-2</v>
      </c>
    </row>
    <row r="160" spans="1:9" x14ac:dyDescent="0.35">
      <c r="A160" s="85">
        <v>43308</v>
      </c>
      <c r="B160">
        <v>0.10879999999999999</v>
      </c>
      <c r="H160">
        <v>0.1963</v>
      </c>
      <c r="I160">
        <f t="shared" si="2"/>
        <v>-8.0848913592722615E-3</v>
      </c>
    </row>
    <row r="161" spans="1:9" x14ac:dyDescent="0.35">
      <c r="A161" s="85">
        <v>43311</v>
      </c>
      <c r="B161">
        <v>0.1082</v>
      </c>
      <c r="H161">
        <v>0.19370000000000001</v>
      </c>
      <c r="I161">
        <f t="shared" si="2"/>
        <v>-1.3245033112582738E-2</v>
      </c>
    </row>
    <row r="162" spans="1:9" x14ac:dyDescent="0.35">
      <c r="A162" s="85">
        <v>43312</v>
      </c>
      <c r="B162">
        <v>0.1055</v>
      </c>
      <c r="H162">
        <v>0.19009999999999999</v>
      </c>
      <c r="I162">
        <f t="shared" si="2"/>
        <v>-1.858544140423346E-2</v>
      </c>
    </row>
    <row r="163" spans="1:9" x14ac:dyDescent="0.35">
      <c r="A163" s="85">
        <v>43313</v>
      </c>
      <c r="B163">
        <v>0.1048</v>
      </c>
      <c r="H163">
        <v>0.1867</v>
      </c>
      <c r="I163">
        <f t="shared" si="2"/>
        <v>-1.788532351394001E-2</v>
      </c>
    </row>
    <row r="164" spans="1:9" x14ac:dyDescent="0.35">
      <c r="A164" s="85">
        <v>43314</v>
      </c>
      <c r="B164">
        <v>0.10589999999999999</v>
      </c>
      <c r="H164">
        <v>0.1832</v>
      </c>
      <c r="I164">
        <f t="shared" si="2"/>
        <v>-1.8746652383502926E-2</v>
      </c>
    </row>
    <row r="165" spans="1:9" x14ac:dyDescent="0.35">
      <c r="A165" s="85">
        <v>43315</v>
      </c>
      <c r="B165">
        <v>0.1085</v>
      </c>
      <c r="H165">
        <v>0.18179999999999999</v>
      </c>
      <c r="I165">
        <f t="shared" si="2"/>
        <v>-7.6419213973799582E-3</v>
      </c>
    </row>
    <row r="166" spans="1:9" x14ac:dyDescent="0.35">
      <c r="A166" s="85">
        <v>43318</v>
      </c>
      <c r="B166">
        <v>0.10979999999999999</v>
      </c>
      <c r="H166">
        <v>0.17949999999999999</v>
      </c>
      <c r="I166">
        <f t="shared" si="2"/>
        <v>-1.2651265126512601E-2</v>
      </c>
    </row>
    <row r="167" spans="1:9" x14ac:dyDescent="0.35">
      <c r="A167" s="85">
        <v>43319</v>
      </c>
      <c r="B167">
        <v>0.10879999999999999</v>
      </c>
      <c r="H167">
        <v>0.18659999999999999</v>
      </c>
      <c r="I167">
        <f t="shared" si="2"/>
        <v>3.9554317548746498E-2</v>
      </c>
    </row>
    <row r="168" spans="1:9" x14ac:dyDescent="0.35">
      <c r="A168" s="85">
        <v>43320</v>
      </c>
      <c r="B168">
        <v>0.1081</v>
      </c>
      <c r="H168">
        <v>0.18479999999999999</v>
      </c>
      <c r="I168">
        <f t="shared" si="2"/>
        <v>-9.6463022508038732E-3</v>
      </c>
    </row>
    <row r="169" spans="1:9" x14ac:dyDescent="0.35">
      <c r="A169" s="85">
        <v>43321</v>
      </c>
      <c r="B169">
        <v>0.1084</v>
      </c>
      <c r="H169">
        <v>0.19</v>
      </c>
      <c r="I169">
        <f t="shared" si="2"/>
        <v>2.813852813852824E-2</v>
      </c>
    </row>
    <row r="170" spans="1:9" x14ac:dyDescent="0.35">
      <c r="A170" s="85">
        <v>43322</v>
      </c>
      <c r="B170">
        <v>0.10539999999999999</v>
      </c>
      <c r="H170">
        <v>0.1913</v>
      </c>
      <c r="I170">
        <f t="shared" si="2"/>
        <v>6.8421052631577606E-3</v>
      </c>
    </row>
    <row r="171" spans="1:9" x14ac:dyDescent="0.35">
      <c r="A171" s="85">
        <v>43325</v>
      </c>
      <c r="B171">
        <v>0.10299999999999999</v>
      </c>
      <c r="H171">
        <v>0.19020000000000001</v>
      </c>
      <c r="I171">
        <f t="shared" si="2"/>
        <v>-5.7501306847882461E-3</v>
      </c>
    </row>
    <row r="172" spans="1:9" x14ac:dyDescent="0.35">
      <c r="A172" s="85">
        <v>43326</v>
      </c>
      <c r="B172">
        <v>0.10340000000000001</v>
      </c>
      <c r="H172">
        <v>0.1857</v>
      </c>
      <c r="I172">
        <f t="shared" si="2"/>
        <v>-2.3659305993690927E-2</v>
      </c>
    </row>
    <row r="173" spans="1:9" x14ac:dyDescent="0.35">
      <c r="A173" s="85">
        <v>43327</v>
      </c>
      <c r="B173">
        <v>0.1023</v>
      </c>
      <c r="H173">
        <v>0.1817</v>
      </c>
      <c r="I173">
        <f t="shared" si="2"/>
        <v>-2.1540118470651626E-2</v>
      </c>
    </row>
    <row r="174" spans="1:9" x14ac:dyDescent="0.35">
      <c r="A174" s="85">
        <v>43328</v>
      </c>
      <c r="B174">
        <v>0.10299999999999999</v>
      </c>
      <c r="H174">
        <v>0.18029999999999999</v>
      </c>
      <c r="I174">
        <f t="shared" si="2"/>
        <v>-7.7050082553660193E-3</v>
      </c>
    </row>
    <row r="175" spans="1:9" x14ac:dyDescent="0.35">
      <c r="A175" s="85">
        <v>43329</v>
      </c>
      <c r="B175">
        <v>0.1018</v>
      </c>
      <c r="H175">
        <v>0.17849999999999999</v>
      </c>
      <c r="I175">
        <f t="shared" si="2"/>
        <v>-9.9833610648918381E-3</v>
      </c>
    </row>
    <row r="176" spans="1:9" x14ac:dyDescent="0.35">
      <c r="A176" s="85">
        <v>43332</v>
      </c>
      <c r="B176">
        <v>0.1009</v>
      </c>
      <c r="H176">
        <v>0.18079999999999999</v>
      </c>
      <c r="I176">
        <f t="shared" si="2"/>
        <v>1.2885154061624604E-2</v>
      </c>
    </row>
    <row r="177" spans="1:9" x14ac:dyDescent="0.35">
      <c r="A177" s="85">
        <v>43333</v>
      </c>
      <c r="B177">
        <v>0.1017</v>
      </c>
      <c r="H177">
        <v>0.1852</v>
      </c>
      <c r="I177">
        <f t="shared" si="2"/>
        <v>2.433628318584069E-2</v>
      </c>
    </row>
    <row r="178" spans="1:9" x14ac:dyDescent="0.35">
      <c r="A178" s="85">
        <v>43334</v>
      </c>
      <c r="B178">
        <v>0.1018</v>
      </c>
      <c r="H178">
        <v>0.18540000000000001</v>
      </c>
      <c r="I178">
        <f t="shared" si="2"/>
        <v>1.0799136069115089E-3</v>
      </c>
    </row>
    <row r="179" spans="1:9" x14ac:dyDescent="0.35">
      <c r="A179" s="85">
        <v>43335</v>
      </c>
      <c r="B179">
        <v>0.1012</v>
      </c>
      <c r="H179">
        <v>0.18340000000000001</v>
      </c>
      <c r="I179">
        <f t="shared" si="2"/>
        <v>-1.0787486515641875E-2</v>
      </c>
    </row>
    <row r="180" spans="1:9" x14ac:dyDescent="0.35">
      <c r="A180" s="85">
        <v>43336</v>
      </c>
      <c r="B180">
        <v>0.1023</v>
      </c>
      <c r="H180">
        <v>0.18360000000000001</v>
      </c>
      <c r="I180">
        <f t="shared" si="2"/>
        <v>1.0905125408942062E-3</v>
      </c>
    </row>
    <row r="181" spans="1:9" x14ac:dyDescent="0.35">
      <c r="A181" s="85">
        <v>43339</v>
      </c>
      <c r="B181">
        <v>0.1051</v>
      </c>
      <c r="H181">
        <v>0.17979999999999999</v>
      </c>
      <c r="I181">
        <f t="shared" si="2"/>
        <v>-2.0697167755991397E-2</v>
      </c>
    </row>
    <row r="182" spans="1:9" x14ac:dyDescent="0.35">
      <c r="A182" s="85">
        <v>43340</v>
      </c>
      <c r="B182">
        <v>0.1031</v>
      </c>
      <c r="H182">
        <v>0.17829999999999999</v>
      </c>
      <c r="I182">
        <f t="shared" si="2"/>
        <v>-8.3426028921023132E-3</v>
      </c>
    </row>
    <row r="183" spans="1:9" x14ac:dyDescent="0.35">
      <c r="A183" s="85">
        <v>43341</v>
      </c>
      <c r="B183">
        <v>0.1037</v>
      </c>
      <c r="H183">
        <v>0.18099999999999999</v>
      </c>
      <c r="I183">
        <f t="shared" si="2"/>
        <v>1.5143017386427315E-2</v>
      </c>
    </row>
    <row r="184" spans="1:9" x14ac:dyDescent="0.35">
      <c r="A184" s="85">
        <v>43342</v>
      </c>
      <c r="B184">
        <v>0.1057</v>
      </c>
      <c r="H184">
        <v>0.1802</v>
      </c>
      <c r="I184">
        <f t="shared" si="2"/>
        <v>-4.4198895027623974E-3</v>
      </c>
    </row>
    <row r="185" spans="1:9" x14ac:dyDescent="0.35">
      <c r="A185" s="85">
        <v>43343</v>
      </c>
      <c r="B185">
        <v>0.106</v>
      </c>
      <c r="H185">
        <v>0.1757</v>
      </c>
      <c r="I185">
        <f t="shared" si="2"/>
        <v>-2.4972253052164328E-2</v>
      </c>
    </row>
    <row r="186" spans="1:9" x14ac:dyDescent="0.35">
      <c r="A186" s="85">
        <v>43347</v>
      </c>
      <c r="B186">
        <v>0.10639999999999999</v>
      </c>
      <c r="H186">
        <v>0.17730000000000001</v>
      </c>
      <c r="I186">
        <f t="shared" si="2"/>
        <v>9.1064314171884764E-3</v>
      </c>
    </row>
    <row r="187" spans="1:9" x14ac:dyDescent="0.35">
      <c r="A187" s="85">
        <v>43348</v>
      </c>
      <c r="B187">
        <v>0.1089</v>
      </c>
      <c r="H187">
        <v>0.1782</v>
      </c>
      <c r="I187">
        <f t="shared" si="2"/>
        <v>5.0761421319795996E-3</v>
      </c>
    </row>
    <row r="188" spans="1:9" x14ac:dyDescent="0.35">
      <c r="A188" s="85">
        <v>43349</v>
      </c>
      <c r="B188">
        <v>0.108</v>
      </c>
      <c r="H188">
        <v>0.184</v>
      </c>
      <c r="I188">
        <f t="shared" si="2"/>
        <v>3.2547699214365844E-2</v>
      </c>
    </row>
    <row r="189" spans="1:9" x14ac:dyDescent="0.35">
      <c r="A189" s="85">
        <v>43350</v>
      </c>
      <c r="B189">
        <v>0.1101</v>
      </c>
      <c r="H189">
        <v>0.1903</v>
      </c>
      <c r="I189">
        <f t="shared" si="2"/>
        <v>3.4239130434782661E-2</v>
      </c>
    </row>
    <row r="190" spans="1:9" x14ac:dyDescent="0.35">
      <c r="A190" s="85">
        <v>43353</v>
      </c>
      <c r="B190">
        <v>0.112</v>
      </c>
      <c r="H190">
        <v>0.19670000000000001</v>
      </c>
      <c r="I190">
        <f t="shared" si="2"/>
        <v>3.3631108775617591E-2</v>
      </c>
    </row>
    <row r="191" spans="1:9" x14ac:dyDescent="0.35">
      <c r="A191" s="85">
        <v>43354</v>
      </c>
      <c r="B191">
        <v>0.1118</v>
      </c>
      <c r="H191">
        <v>0.19589999999999999</v>
      </c>
      <c r="I191">
        <f t="shared" si="2"/>
        <v>-4.0671072699544064E-3</v>
      </c>
    </row>
    <row r="192" spans="1:9" x14ac:dyDescent="0.35">
      <c r="A192" s="85">
        <v>43355</v>
      </c>
      <c r="B192">
        <v>0.1167</v>
      </c>
      <c r="H192">
        <v>0.19839999999999999</v>
      </c>
      <c r="I192">
        <f t="shared" si="2"/>
        <v>1.2761613067891808E-2</v>
      </c>
    </row>
    <row r="193" spans="1:9" x14ac:dyDescent="0.35">
      <c r="A193" s="85">
        <v>43356</v>
      </c>
      <c r="B193">
        <v>0.1168</v>
      </c>
      <c r="H193">
        <v>0.19439999999999999</v>
      </c>
      <c r="I193">
        <f t="shared" si="2"/>
        <v>-2.0161290322580627E-2</v>
      </c>
    </row>
    <row r="194" spans="1:9" x14ac:dyDescent="0.35">
      <c r="A194" s="85">
        <v>43357</v>
      </c>
      <c r="B194">
        <v>0.1116</v>
      </c>
      <c r="H194">
        <v>0.19439999999999999</v>
      </c>
      <c r="I194">
        <f t="shared" si="2"/>
        <v>0</v>
      </c>
    </row>
    <row r="195" spans="1:9" x14ac:dyDescent="0.35">
      <c r="A195" s="85">
        <v>43360</v>
      </c>
      <c r="B195">
        <v>0.10630000000000001</v>
      </c>
      <c r="H195">
        <v>0.19400000000000001</v>
      </c>
      <c r="I195">
        <f t="shared" si="2"/>
        <v>-2.057613168724215E-3</v>
      </c>
    </row>
    <row r="196" spans="1:9" x14ac:dyDescent="0.35">
      <c r="A196" s="85">
        <v>43361</v>
      </c>
      <c r="B196">
        <v>0.1052</v>
      </c>
      <c r="H196">
        <v>0.19259999999999999</v>
      </c>
      <c r="I196">
        <f t="shared" si="2"/>
        <v>-7.2164948453609101E-3</v>
      </c>
    </row>
    <row r="197" spans="1:9" x14ac:dyDescent="0.35">
      <c r="A197" s="85">
        <v>43362</v>
      </c>
      <c r="B197">
        <v>0.1076</v>
      </c>
      <c r="H197">
        <v>0.19270000000000001</v>
      </c>
      <c r="I197">
        <f t="shared" si="2"/>
        <v>5.1921079958461291E-4</v>
      </c>
    </row>
    <row r="198" spans="1:9" x14ac:dyDescent="0.35">
      <c r="A198" s="85">
        <v>43363</v>
      </c>
      <c r="B198">
        <v>0.108</v>
      </c>
      <c r="H198">
        <v>0.189</v>
      </c>
      <c r="I198">
        <f t="shared" si="2"/>
        <v>-1.9200830306175476E-2</v>
      </c>
    </row>
    <row r="199" spans="1:9" x14ac:dyDescent="0.35">
      <c r="A199" s="85">
        <v>43364</v>
      </c>
      <c r="B199">
        <v>0.1084</v>
      </c>
      <c r="H199">
        <v>0.18820000000000001</v>
      </c>
      <c r="I199">
        <f t="shared" si="2"/>
        <v>-4.2328042328042548E-3</v>
      </c>
    </row>
    <row r="200" spans="1:9" x14ac:dyDescent="0.35">
      <c r="A200" s="85">
        <v>43367</v>
      </c>
      <c r="B200">
        <v>0.1038</v>
      </c>
      <c r="H200">
        <v>0.18429999999999999</v>
      </c>
      <c r="I200" s="30">
        <f t="shared" si="2"/>
        <v>-2.0722635494155206E-2</v>
      </c>
    </row>
    <row r="201" spans="1:9" x14ac:dyDescent="0.35">
      <c r="A201" s="85">
        <v>43368</v>
      </c>
      <c r="B201">
        <v>0.1052</v>
      </c>
    </row>
    <row r="202" spans="1:9" x14ac:dyDescent="0.35">
      <c r="A202" s="85">
        <v>43369</v>
      </c>
      <c r="B202">
        <v>0.10299999999999999</v>
      </c>
    </row>
    <row r="203" spans="1:9" x14ac:dyDescent="0.35">
      <c r="A203" s="85">
        <v>43370</v>
      </c>
      <c r="B203">
        <v>0.1057</v>
      </c>
    </row>
    <row r="204" spans="1:9" x14ac:dyDescent="0.35">
      <c r="A204" s="85">
        <v>43371</v>
      </c>
      <c r="B204">
        <v>0.1104</v>
      </c>
    </row>
    <row r="205" spans="1:9" x14ac:dyDescent="0.35">
      <c r="A205" s="85">
        <v>43374</v>
      </c>
      <c r="B205">
        <v>0.11609999999999999</v>
      </c>
    </row>
    <row r="206" spans="1:9" x14ac:dyDescent="0.35">
      <c r="A206" s="85">
        <v>43375</v>
      </c>
      <c r="B206">
        <v>0.1207</v>
      </c>
    </row>
    <row r="207" spans="1:9" x14ac:dyDescent="0.35">
      <c r="A207" s="85">
        <v>43376</v>
      </c>
      <c r="B207">
        <v>0.12230000000000001</v>
      </c>
    </row>
    <row r="208" spans="1:9" x14ac:dyDescent="0.35">
      <c r="A208" s="85">
        <v>43377</v>
      </c>
      <c r="B208">
        <v>0.12330000000000001</v>
      </c>
    </row>
    <row r="209" spans="1:2" x14ac:dyDescent="0.35">
      <c r="A209" s="85">
        <v>43378</v>
      </c>
      <c r="B209">
        <v>0.1263</v>
      </c>
    </row>
    <row r="210" spans="1:2" x14ac:dyDescent="0.35">
      <c r="A210" s="85">
        <v>43381</v>
      </c>
      <c r="B210">
        <v>0.12939999999999999</v>
      </c>
    </row>
    <row r="211" spans="1:2" x14ac:dyDescent="0.35">
      <c r="A211" s="85">
        <v>43382</v>
      </c>
      <c r="B211">
        <v>0.12970000000000001</v>
      </c>
    </row>
    <row r="212" spans="1:2" x14ac:dyDescent="0.35">
      <c r="A212" s="85">
        <v>43383</v>
      </c>
      <c r="B212">
        <v>0.1285</v>
      </c>
    </row>
    <row r="213" spans="1:2" x14ac:dyDescent="0.35">
      <c r="A213" s="85">
        <v>43384</v>
      </c>
      <c r="B213">
        <v>0.12920000000000001</v>
      </c>
    </row>
    <row r="214" spans="1:2" x14ac:dyDescent="0.35">
      <c r="A214" s="85">
        <v>43385</v>
      </c>
      <c r="B214">
        <v>0.13070000000000001</v>
      </c>
    </row>
    <row r="215" spans="1:2" x14ac:dyDescent="0.35">
      <c r="A215" s="85">
        <v>43388</v>
      </c>
      <c r="B215">
        <v>0.1343</v>
      </c>
    </row>
    <row r="216" spans="1:2" x14ac:dyDescent="0.35">
      <c r="A216" s="85">
        <v>43389</v>
      </c>
      <c r="B216">
        <v>0.13250000000000001</v>
      </c>
    </row>
    <row r="217" spans="1:2" x14ac:dyDescent="0.35">
      <c r="A217" s="85">
        <v>43390</v>
      </c>
      <c r="B217">
        <v>0.13730000000000001</v>
      </c>
    </row>
    <row r="218" spans="1:2" x14ac:dyDescent="0.35">
      <c r="A218" s="85">
        <v>43391</v>
      </c>
      <c r="B218">
        <v>0.13869999999999999</v>
      </c>
    </row>
    <row r="219" spans="1:2" x14ac:dyDescent="0.35">
      <c r="A219" s="85">
        <v>43392</v>
      </c>
      <c r="B219">
        <v>0.1389</v>
      </c>
    </row>
    <row r="220" spans="1:2" x14ac:dyDescent="0.35">
      <c r="A220" s="85">
        <v>43395</v>
      </c>
      <c r="B220">
        <v>0.13819999999999999</v>
      </c>
    </row>
    <row r="221" spans="1:2" x14ac:dyDescent="0.35">
      <c r="A221" s="85">
        <v>43396</v>
      </c>
      <c r="B221">
        <v>0.1381</v>
      </c>
    </row>
    <row r="222" spans="1:2" x14ac:dyDescent="0.35">
      <c r="A222" s="85">
        <v>43397</v>
      </c>
      <c r="B222">
        <v>0.1401</v>
      </c>
    </row>
    <row r="223" spans="1:2" x14ac:dyDescent="0.35">
      <c r="A223" s="85">
        <v>43398</v>
      </c>
      <c r="B223">
        <v>0.13969999999999999</v>
      </c>
    </row>
    <row r="224" spans="1:2" x14ac:dyDescent="0.35">
      <c r="A224" s="85">
        <v>43399</v>
      </c>
      <c r="B224">
        <v>0.1384</v>
      </c>
    </row>
    <row r="225" spans="1:2" x14ac:dyDescent="0.35">
      <c r="A225" s="85">
        <v>43402</v>
      </c>
      <c r="B225">
        <v>0.13500000000000001</v>
      </c>
    </row>
    <row r="226" spans="1:2" x14ac:dyDescent="0.35">
      <c r="A226" s="85">
        <v>43403</v>
      </c>
      <c r="B226">
        <v>0.13320000000000001</v>
      </c>
    </row>
    <row r="227" spans="1:2" x14ac:dyDescent="0.35">
      <c r="A227" s="85">
        <v>43404</v>
      </c>
      <c r="B227">
        <v>0.13189999999999999</v>
      </c>
    </row>
    <row r="228" spans="1:2" x14ac:dyDescent="0.35">
      <c r="A228" s="85">
        <v>43405</v>
      </c>
      <c r="B228">
        <v>0.13189999999999999</v>
      </c>
    </row>
    <row r="229" spans="1:2" x14ac:dyDescent="0.35">
      <c r="A229" s="85">
        <v>43406</v>
      </c>
      <c r="B229">
        <v>0.13439999999999999</v>
      </c>
    </row>
    <row r="230" spans="1:2" x14ac:dyDescent="0.35">
      <c r="A230" s="85">
        <v>43409</v>
      </c>
      <c r="B230">
        <v>0.13150000000000001</v>
      </c>
    </row>
    <row r="231" spans="1:2" x14ac:dyDescent="0.35">
      <c r="A231" s="85">
        <v>43410</v>
      </c>
      <c r="B231">
        <v>0.12959999999999999</v>
      </c>
    </row>
    <row r="232" spans="1:2" x14ac:dyDescent="0.35">
      <c r="A232" s="85">
        <v>43411</v>
      </c>
      <c r="B232">
        <v>0.13009999999999999</v>
      </c>
    </row>
    <row r="233" spans="1:2" x14ac:dyDescent="0.35">
      <c r="A233" s="85">
        <v>43412</v>
      </c>
      <c r="B233">
        <v>0.12839999999999999</v>
      </c>
    </row>
    <row r="234" spans="1:2" x14ac:dyDescent="0.35">
      <c r="A234" s="85">
        <v>43413</v>
      </c>
      <c r="B234">
        <v>0.1273</v>
      </c>
    </row>
    <row r="235" spans="1:2" x14ac:dyDescent="0.35">
      <c r="A235" s="85">
        <v>43416</v>
      </c>
      <c r="B235">
        <v>0.12939999999999999</v>
      </c>
    </row>
    <row r="236" spans="1:2" x14ac:dyDescent="0.35">
      <c r="A236" s="85">
        <v>43417</v>
      </c>
      <c r="B236">
        <v>0.12609999999999999</v>
      </c>
    </row>
    <row r="237" spans="1:2" x14ac:dyDescent="0.35">
      <c r="A237" s="85">
        <v>43418</v>
      </c>
      <c r="B237">
        <v>0.1265</v>
      </c>
    </row>
    <row r="238" spans="1:2" x14ac:dyDescent="0.35">
      <c r="A238" s="85">
        <v>43419</v>
      </c>
      <c r="B238">
        <v>0.1265</v>
      </c>
    </row>
    <row r="239" spans="1:2" x14ac:dyDescent="0.35">
      <c r="A239" s="85">
        <v>43420</v>
      </c>
      <c r="B239">
        <v>0.12690000000000001</v>
      </c>
    </row>
    <row r="240" spans="1:2" x14ac:dyDescent="0.35">
      <c r="A240" s="85">
        <v>43423</v>
      </c>
      <c r="B240">
        <v>0.128</v>
      </c>
    </row>
    <row r="241" spans="1:2" x14ac:dyDescent="0.35">
      <c r="A241" s="85">
        <v>43424</v>
      </c>
      <c r="B241">
        <v>0.1246</v>
      </c>
    </row>
    <row r="242" spans="1:2" x14ac:dyDescent="0.35">
      <c r="A242" s="85">
        <v>43425</v>
      </c>
      <c r="B242">
        <v>0.1268</v>
      </c>
    </row>
    <row r="243" spans="1:2" x14ac:dyDescent="0.35">
      <c r="A243" s="85">
        <v>43427</v>
      </c>
      <c r="B243">
        <v>0.12470000000000001</v>
      </c>
    </row>
    <row r="244" spans="1:2" x14ac:dyDescent="0.35">
      <c r="A244" s="85">
        <v>43430</v>
      </c>
      <c r="B244">
        <v>0.12479999999999999</v>
      </c>
    </row>
    <row r="245" spans="1:2" x14ac:dyDescent="0.35">
      <c r="A245" s="85">
        <v>43431</v>
      </c>
      <c r="B245">
        <v>0.1234</v>
      </c>
    </row>
    <row r="246" spans="1:2" x14ac:dyDescent="0.35">
      <c r="A246" s="85">
        <v>43432</v>
      </c>
      <c r="B246">
        <v>0.12839999999999999</v>
      </c>
    </row>
    <row r="247" spans="1:2" x14ac:dyDescent="0.35">
      <c r="A247" s="85">
        <v>43433</v>
      </c>
      <c r="B247">
        <v>0.12870000000000001</v>
      </c>
    </row>
    <row r="248" spans="1:2" x14ac:dyDescent="0.35">
      <c r="A248" s="85">
        <v>43434</v>
      </c>
      <c r="B248">
        <v>0.12839999999999999</v>
      </c>
    </row>
    <row r="249" spans="1:2" x14ac:dyDescent="0.35">
      <c r="A249" s="85">
        <v>43437</v>
      </c>
      <c r="B249">
        <v>0.12909999999999999</v>
      </c>
    </row>
    <row r="250" spans="1:2" x14ac:dyDescent="0.35">
      <c r="A250" s="85">
        <v>43438</v>
      </c>
      <c r="B250">
        <v>0.1275</v>
      </c>
    </row>
    <row r="251" spans="1:2" x14ac:dyDescent="0.35">
      <c r="A251" s="85">
        <v>43439</v>
      </c>
      <c r="B251">
        <v>0.12720000000000001</v>
      </c>
    </row>
    <row r="252" spans="1:2" x14ac:dyDescent="0.35">
      <c r="A252" s="85">
        <v>43440</v>
      </c>
      <c r="B252">
        <v>0.12640000000000001</v>
      </c>
    </row>
    <row r="253" spans="1:2" x14ac:dyDescent="0.35">
      <c r="A253" s="85">
        <v>43441</v>
      </c>
      <c r="B253">
        <v>0.12870000000000001</v>
      </c>
    </row>
    <row r="254" spans="1:2" x14ac:dyDescent="0.35">
      <c r="A254" s="85">
        <v>43444</v>
      </c>
      <c r="B254">
        <v>0.12720000000000001</v>
      </c>
    </row>
    <row r="255" spans="1:2" x14ac:dyDescent="0.35">
      <c r="A255" s="85">
        <v>43445</v>
      </c>
      <c r="B255">
        <v>0.1283</v>
      </c>
    </row>
    <row r="256" spans="1:2" x14ac:dyDescent="0.35">
      <c r="A256" s="85">
        <v>43446</v>
      </c>
      <c r="B256">
        <v>0.12740000000000001</v>
      </c>
    </row>
    <row r="257" spans="1:2" x14ac:dyDescent="0.35">
      <c r="A257" s="85">
        <v>43447</v>
      </c>
      <c r="B257">
        <v>0.1275</v>
      </c>
    </row>
    <row r="258" spans="1:2" x14ac:dyDescent="0.35">
      <c r="A258" s="85">
        <v>43448</v>
      </c>
      <c r="B258">
        <v>0.1265</v>
      </c>
    </row>
    <row r="259" spans="1:2" x14ac:dyDescent="0.35">
      <c r="A259" s="85">
        <v>43451</v>
      </c>
      <c r="B259">
        <v>0.1249</v>
      </c>
    </row>
    <row r="260" spans="1:2" x14ac:dyDescent="0.35">
      <c r="A260" s="85">
        <v>43452</v>
      </c>
      <c r="B260">
        <v>0.123</v>
      </c>
    </row>
    <row r="261" spans="1:2" x14ac:dyDescent="0.35">
      <c r="A261" s="85">
        <v>43453</v>
      </c>
      <c r="B261">
        <v>0.12470000000000001</v>
      </c>
    </row>
    <row r="262" spans="1:2" x14ac:dyDescent="0.35">
      <c r="A262" s="85">
        <v>43454</v>
      </c>
      <c r="B262">
        <v>0.12429999999999999</v>
      </c>
    </row>
    <row r="263" spans="1:2" x14ac:dyDescent="0.35">
      <c r="A263" s="85">
        <v>43455</v>
      </c>
      <c r="B263">
        <v>0.1234</v>
      </c>
    </row>
    <row r="264" spans="1:2" x14ac:dyDescent="0.35">
      <c r="A264" s="85">
        <v>43458</v>
      </c>
      <c r="B264">
        <v>0.124</v>
      </c>
    </row>
    <row r="265" spans="1:2" x14ac:dyDescent="0.35">
      <c r="A265" s="85">
        <v>43460</v>
      </c>
      <c r="B265">
        <v>0.1239</v>
      </c>
    </row>
    <row r="266" spans="1:2" x14ac:dyDescent="0.35">
      <c r="A266" s="85">
        <v>43461</v>
      </c>
      <c r="B266">
        <v>0.1225</v>
      </c>
    </row>
    <row r="267" spans="1:2" x14ac:dyDescent="0.35">
      <c r="A267" s="85">
        <v>43462</v>
      </c>
      <c r="B267">
        <v>0.1239</v>
      </c>
    </row>
    <row r="268" spans="1:2" x14ac:dyDescent="0.35">
      <c r="A268" s="85">
        <v>43465</v>
      </c>
      <c r="B268">
        <v>0.1203</v>
      </c>
    </row>
    <row r="269" spans="1:2" x14ac:dyDescent="0.35">
      <c r="A269" s="85">
        <v>43467</v>
      </c>
      <c r="B269">
        <v>0.1193</v>
      </c>
    </row>
    <row r="270" spans="1:2" x14ac:dyDescent="0.35">
      <c r="A270" s="85">
        <v>43468</v>
      </c>
      <c r="B270">
        <v>0.1169</v>
      </c>
    </row>
    <row r="271" spans="1:2" x14ac:dyDescent="0.35">
      <c r="A271" s="85">
        <v>43469</v>
      </c>
      <c r="B271">
        <v>0.1193</v>
      </c>
    </row>
    <row r="272" spans="1:2" x14ac:dyDescent="0.35">
      <c r="A272" s="85">
        <v>43472</v>
      </c>
      <c r="B272">
        <v>0.1265</v>
      </c>
    </row>
    <row r="273" spans="1:2" x14ac:dyDescent="0.35">
      <c r="A273" s="85">
        <v>43473</v>
      </c>
      <c r="B273">
        <v>0.12759999999999999</v>
      </c>
    </row>
    <row r="274" spans="1:2" x14ac:dyDescent="0.35">
      <c r="A274" s="85">
        <v>43474</v>
      </c>
      <c r="B274">
        <v>0.12870000000000001</v>
      </c>
    </row>
    <row r="275" spans="1:2" x14ac:dyDescent="0.35">
      <c r="A275" s="85">
        <v>43475</v>
      </c>
      <c r="B275">
        <v>0.12670000000000001</v>
      </c>
    </row>
    <row r="276" spans="1:2" x14ac:dyDescent="0.35">
      <c r="A276" s="85">
        <v>43476</v>
      </c>
      <c r="B276">
        <v>0.1278</v>
      </c>
    </row>
    <row r="277" spans="1:2" x14ac:dyDescent="0.35">
      <c r="A277" s="85">
        <v>43479</v>
      </c>
      <c r="B277">
        <v>0.1275</v>
      </c>
    </row>
    <row r="278" spans="1:2" x14ac:dyDescent="0.35">
      <c r="A278" s="85">
        <v>43480</v>
      </c>
      <c r="B278">
        <v>0.13159999999999999</v>
      </c>
    </row>
    <row r="279" spans="1:2" x14ac:dyDescent="0.35">
      <c r="A279" s="85">
        <v>43481</v>
      </c>
      <c r="B279">
        <v>0.13170000000000001</v>
      </c>
    </row>
    <row r="280" spans="1:2" x14ac:dyDescent="0.35">
      <c r="A280" s="85">
        <v>43482</v>
      </c>
      <c r="B280">
        <v>0.1285</v>
      </c>
    </row>
    <row r="281" spans="1:2" x14ac:dyDescent="0.35">
      <c r="A281" s="85">
        <v>43483</v>
      </c>
      <c r="B281">
        <v>0.1303</v>
      </c>
    </row>
    <row r="282" spans="1:2" x14ac:dyDescent="0.35">
      <c r="A282" s="85">
        <v>43487</v>
      </c>
      <c r="B282">
        <v>0.1293</v>
      </c>
    </row>
    <row r="283" spans="1:2" x14ac:dyDescent="0.35">
      <c r="A283" s="85">
        <v>43488</v>
      </c>
      <c r="B283">
        <v>0.12970000000000001</v>
      </c>
    </row>
    <row r="284" spans="1:2" x14ac:dyDescent="0.35">
      <c r="A284" s="85">
        <v>43489</v>
      </c>
      <c r="B284">
        <v>0.1298</v>
      </c>
    </row>
    <row r="285" spans="1:2" x14ac:dyDescent="0.35">
      <c r="A285" s="85">
        <v>43490</v>
      </c>
      <c r="B285">
        <v>0.1244</v>
      </c>
    </row>
    <row r="286" spans="1:2" x14ac:dyDescent="0.35">
      <c r="A286" s="85">
        <v>43493</v>
      </c>
      <c r="B286">
        <v>0.12790000000000001</v>
      </c>
    </row>
    <row r="287" spans="1:2" x14ac:dyDescent="0.35">
      <c r="A287" s="85">
        <v>43494</v>
      </c>
      <c r="B287">
        <v>0.12690000000000001</v>
      </c>
    </row>
    <row r="288" spans="1:2" x14ac:dyDescent="0.35">
      <c r="A288" s="85">
        <v>43495</v>
      </c>
      <c r="B288">
        <v>0.12529999999999999</v>
      </c>
    </row>
    <row r="289" spans="1:2" x14ac:dyDescent="0.35">
      <c r="A289" s="85">
        <v>43496</v>
      </c>
      <c r="B289">
        <v>0.1273</v>
      </c>
    </row>
    <row r="290" spans="1:2" x14ac:dyDescent="0.35">
      <c r="A290" s="85">
        <v>43497</v>
      </c>
      <c r="B290">
        <v>0.126</v>
      </c>
    </row>
    <row r="291" spans="1:2" x14ac:dyDescent="0.35">
      <c r="A291" s="85">
        <v>43500</v>
      </c>
      <c r="B291">
        <v>0.1285</v>
      </c>
    </row>
    <row r="292" spans="1:2" x14ac:dyDescent="0.35">
      <c r="A292" s="85">
        <v>43501</v>
      </c>
      <c r="B292">
        <v>0.12820000000000001</v>
      </c>
    </row>
    <row r="293" spans="1:2" x14ac:dyDescent="0.35">
      <c r="A293" s="85">
        <v>43502</v>
      </c>
      <c r="B293">
        <v>0.129</v>
      </c>
    </row>
    <row r="294" spans="1:2" x14ac:dyDescent="0.35">
      <c r="A294" s="85">
        <v>43503</v>
      </c>
      <c r="B294">
        <v>0.1273</v>
      </c>
    </row>
    <row r="295" spans="1:2" x14ac:dyDescent="0.35">
      <c r="A295" s="85">
        <v>43504</v>
      </c>
      <c r="B295">
        <v>0.12709999999999999</v>
      </c>
    </row>
    <row r="296" spans="1:2" x14ac:dyDescent="0.35">
      <c r="A296" s="85">
        <v>43507</v>
      </c>
      <c r="B296">
        <v>0.12670000000000001</v>
      </c>
    </row>
    <row r="297" spans="1:2" x14ac:dyDescent="0.35">
      <c r="A297" s="85">
        <v>43508</v>
      </c>
      <c r="B297">
        <v>0.1285</v>
      </c>
    </row>
    <row r="298" spans="1:2" x14ac:dyDescent="0.35">
      <c r="A298" s="85">
        <v>43509</v>
      </c>
      <c r="B298">
        <v>0.1275</v>
      </c>
    </row>
    <row r="299" spans="1:2" x14ac:dyDescent="0.35">
      <c r="A299" s="85">
        <v>43510</v>
      </c>
      <c r="B299">
        <v>0.12609999999999999</v>
      </c>
    </row>
    <row r="300" spans="1:2" x14ac:dyDescent="0.35">
      <c r="A300" s="85">
        <v>43511</v>
      </c>
      <c r="B300">
        <v>0.13139999999999999</v>
      </c>
    </row>
    <row r="301" spans="1:2" x14ac:dyDescent="0.35">
      <c r="A301" s="85">
        <v>43515</v>
      </c>
      <c r="B301">
        <v>0.13350000000000001</v>
      </c>
    </row>
    <row r="302" spans="1:2" x14ac:dyDescent="0.35">
      <c r="A302" s="85">
        <v>43516</v>
      </c>
      <c r="B302">
        <v>0.13439999999999999</v>
      </c>
    </row>
    <row r="303" spans="1:2" x14ac:dyDescent="0.35">
      <c r="A303" s="85">
        <v>43517</v>
      </c>
      <c r="B303">
        <v>0.13239999999999999</v>
      </c>
    </row>
    <row r="304" spans="1:2" x14ac:dyDescent="0.35">
      <c r="A304" s="85">
        <v>43518</v>
      </c>
      <c r="B304">
        <v>0.13370000000000001</v>
      </c>
    </row>
    <row r="305" spans="1:2" x14ac:dyDescent="0.35">
      <c r="A305" s="85">
        <v>43521</v>
      </c>
      <c r="B305">
        <v>0.1308</v>
      </c>
    </row>
    <row r="306" spans="1:2" x14ac:dyDescent="0.35">
      <c r="A306" s="85">
        <v>43522</v>
      </c>
      <c r="B306">
        <v>0.12870000000000001</v>
      </c>
    </row>
    <row r="307" spans="1:2" x14ac:dyDescent="0.35">
      <c r="A307" s="85">
        <v>43523</v>
      </c>
      <c r="B307">
        <v>0.1295</v>
      </c>
    </row>
    <row r="308" spans="1:2" x14ac:dyDescent="0.35">
      <c r="A308" s="85">
        <v>43524</v>
      </c>
      <c r="B308">
        <v>0.12770000000000001</v>
      </c>
    </row>
    <row r="309" spans="1:2" x14ac:dyDescent="0.35">
      <c r="A309" s="85">
        <v>43525</v>
      </c>
      <c r="B309">
        <v>0.12620000000000001</v>
      </c>
    </row>
    <row r="310" spans="1:2" x14ac:dyDescent="0.35">
      <c r="A310" s="85">
        <v>43528</v>
      </c>
      <c r="B310">
        <v>0.1236</v>
      </c>
    </row>
    <row r="311" spans="1:2" x14ac:dyDescent="0.35">
      <c r="A311" s="85">
        <v>43529</v>
      </c>
      <c r="B311">
        <v>0.1244</v>
      </c>
    </row>
    <row r="312" spans="1:2" x14ac:dyDescent="0.35">
      <c r="A312" s="85">
        <v>43530</v>
      </c>
      <c r="B312">
        <v>0.1216</v>
      </c>
    </row>
    <row r="313" spans="1:2" x14ac:dyDescent="0.35">
      <c r="A313" s="85">
        <v>43531</v>
      </c>
      <c r="B313">
        <v>0.12139999999999999</v>
      </c>
    </row>
    <row r="314" spans="1:2" x14ac:dyDescent="0.35">
      <c r="A314" s="85">
        <v>43532</v>
      </c>
      <c r="B314">
        <v>0.12180000000000001</v>
      </c>
    </row>
    <row r="315" spans="1:2" x14ac:dyDescent="0.35">
      <c r="A315" s="85">
        <v>43535</v>
      </c>
      <c r="B315">
        <v>0.1229</v>
      </c>
    </row>
    <row r="316" spans="1:2" x14ac:dyDescent="0.35">
      <c r="A316" s="85">
        <v>43536</v>
      </c>
      <c r="B316">
        <v>0.12330000000000001</v>
      </c>
    </row>
    <row r="317" spans="1:2" x14ac:dyDescent="0.35">
      <c r="A317" s="85">
        <v>43537</v>
      </c>
      <c r="B317">
        <v>0.1236</v>
      </c>
    </row>
    <row r="318" spans="1:2" x14ac:dyDescent="0.35">
      <c r="A318" s="85">
        <v>43538</v>
      </c>
      <c r="B318">
        <v>0.1241</v>
      </c>
    </row>
    <row r="319" spans="1:2" x14ac:dyDescent="0.35">
      <c r="A319" s="85">
        <v>43539</v>
      </c>
      <c r="B319">
        <v>0.12520000000000001</v>
      </c>
    </row>
    <row r="320" spans="1:2" x14ac:dyDescent="0.35">
      <c r="A320" s="85">
        <v>43542</v>
      </c>
      <c r="B320">
        <v>0.12839999999999999</v>
      </c>
    </row>
    <row r="321" spans="1:2" x14ac:dyDescent="0.35">
      <c r="A321" s="85">
        <v>43543</v>
      </c>
      <c r="B321">
        <v>0.1278</v>
      </c>
    </row>
    <row r="322" spans="1:2" x14ac:dyDescent="0.35">
      <c r="A322" s="85">
        <v>43544</v>
      </c>
      <c r="B322">
        <v>0.12740000000000001</v>
      </c>
    </row>
    <row r="323" spans="1:2" x14ac:dyDescent="0.35">
      <c r="A323" s="85">
        <v>43545</v>
      </c>
      <c r="B323">
        <v>0.125</v>
      </c>
    </row>
    <row r="324" spans="1:2" x14ac:dyDescent="0.35">
      <c r="A324" s="85">
        <v>43546</v>
      </c>
      <c r="B324">
        <v>0.12570000000000001</v>
      </c>
    </row>
    <row r="325" spans="1:2" x14ac:dyDescent="0.35">
      <c r="A325" s="85">
        <v>43549</v>
      </c>
      <c r="B325">
        <v>0.12479999999999999</v>
      </c>
    </row>
    <row r="326" spans="1:2" x14ac:dyDescent="0.35">
      <c r="A326" s="85">
        <v>43550</v>
      </c>
      <c r="B326">
        <v>0.12590000000000001</v>
      </c>
    </row>
    <row r="327" spans="1:2" x14ac:dyDescent="0.35">
      <c r="A327" s="85">
        <v>43551</v>
      </c>
      <c r="B327">
        <v>0.1258</v>
      </c>
    </row>
    <row r="328" spans="1:2" x14ac:dyDescent="0.35">
      <c r="A328" s="85">
        <v>43552</v>
      </c>
      <c r="B328">
        <v>0.12529999999999999</v>
      </c>
    </row>
    <row r="329" spans="1:2" x14ac:dyDescent="0.35">
      <c r="A329" s="85">
        <v>43553</v>
      </c>
      <c r="B329">
        <v>0.12529999999999999</v>
      </c>
    </row>
    <row r="330" spans="1:2" x14ac:dyDescent="0.35">
      <c r="A330" s="85">
        <v>43556</v>
      </c>
      <c r="B330">
        <v>0.12670000000000001</v>
      </c>
    </row>
    <row r="331" spans="1:2" x14ac:dyDescent="0.35">
      <c r="A331" s="85">
        <v>43557</v>
      </c>
      <c r="B331">
        <v>0.12659999999999999</v>
      </c>
    </row>
    <row r="332" spans="1:2" x14ac:dyDescent="0.35">
      <c r="A332" s="85">
        <v>43558</v>
      </c>
      <c r="B332">
        <v>0.1242</v>
      </c>
    </row>
    <row r="333" spans="1:2" x14ac:dyDescent="0.35">
      <c r="A333" s="85">
        <v>43559</v>
      </c>
      <c r="B333">
        <v>0.12709999999999999</v>
      </c>
    </row>
    <row r="334" spans="1:2" x14ac:dyDescent="0.35">
      <c r="A334" s="85">
        <v>43560</v>
      </c>
      <c r="B334">
        <v>0.12759999999999999</v>
      </c>
    </row>
    <row r="335" spans="1:2" x14ac:dyDescent="0.35">
      <c r="A335" s="85">
        <v>43563</v>
      </c>
      <c r="B335">
        <v>0.12570000000000001</v>
      </c>
    </row>
    <row r="336" spans="1:2" x14ac:dyDescent="0.35">
      <c r="A336" s="85">
        <v>43564</v>
      </c>
      <c r="B336">
        <v>0.1278</v>
      </c>
    </row>
    <row r="337" spans="1:2" x14ac:dyDescent="0.35">
      <c r="A337" s="85">
        <v>43565</v>
      </c>
      <c r="B337">
        <v>0.12809999999999999</v>
      </c>
    </row>
    <row r="338" spans="1:2" x14ac:dyDescent="0.35">
      <c r="A338" s="85">
        <v>43566</v>
      </c>
      <c r="B338">
        <v>0.12659999999999999</v>
      </c>
    </row>
    <row r="339" spans="1:2" x14ac:dyDescent="0.35">
      <c r="A339" s="85">
        <v>43567</v>
      </c>
      <c r="B339">
        <v>0.12770000000000001</v>
      </c>
    </row>
    <row r="340" spans="1:2" x14ac:dyDescent="0.35">
      <c r="A340" s="85">
        <v>43570</v>
      </c>
      <c r="B340">
        <v>0.12659999999999999</v>
      </c>
    </row>
    <row r="341" spans="1:2" x14ac:dyDescent="0.35">
      <c r="A341" s="85">
        <v>43571</v>
      </c>
      <c r="B341">
        <v>0.12509999999999999</v>
      </c>
    </row>
    <row r="342" spans="1:2" x14ac:dyDescent="0.35">
      <c r="A342" s="85">
        <v>43572</v>
      </c>
      <c r="B342">
        <v>0.1235</v>
      </c>
    </row>
    <row r="343" spans="1:2" x14ac:dyDescent="0.35">
      <c r="A343" s="85">
        <v>43573</v>
      </c>
      <c r="B343">
        <v>0.12759999999999999</v>
      </c>
    </row>
    <row r="344" spans="1:2" x14ac:dyDescent="0.35">
      <c r="A344" s="85">
        <v>43577</v>
      </c>
      <c r="B344">
        <v>0.12540000000000001</v>
      </c>
    </row>
    <row r="345" spans="1:2" x14ac:dyDescent="0.35">
      <c r="A345" s="85">
        <v>43578</v>
      </c>
      <c r="B345">
        <v>0.127</v>
      </c>
    </row>
    <row r="346" spans="1:2" x14ac:dyDescent="0.35">
      <c r="A346" s="85">
        <v>43579</v>
      </c>
      <c r="B346">
        <v>0.1268</v>
      </c>
    </row>
    <row r="347" spans="1:2" x14ac:dyDescent="0.35">
      <c r="A347" s="85">
        <v>43580</v>
      </c>
      <c r="B347">
        <v>0.12429999999999999</v>
      </c>
    </row>
    <row r="348" spans="1:2" x14ac:dyDescent="0.35">
      <c r="A348" s="85">
        <v>43581</v>
      </c>
      <c r="B348">
        <v>0.1242</v>
      </c>
    </row>
    <row r="349" spans="1:2" x14ac:dyDescent="0.35">
      <c r="A349" s="85">
        <v>43584</v>
      </c>
      <c r="B349">
        <v>0.1205</v>
      </c>
    </row>
    <row r="350" spans="1:2" x14ac:dyDescent="0.35">
      <c r="A350" s="85">
        <v>43585</v>
      </c>
      <c r="B350">
        <v>0.1227</v>
      </c>
    </row>
    <row r="351" spans="1:2" x14ac:dyDescent="0.35">
      <c r="A351" s="85">
        <v>43586</v>
      </c>
      <c r="B351">
        <v>0.1221</v>
      </c>
    </row>
    <row r="352" spans="1:2" x14ac:dyDescent="0.35">
      <c r="A352" s="85">
        <v>43587</v>
      </c>
      <c r="B352">
        <v>0.12230000000000001</v>
      </c>
    </row>
    <row r="353" spans="1:2" x14ac:dyDescent="0.35">
      <c r="A353" s="85">
        <v>43588</v>
      </c>
      <c r="B353">
        <v>0.1201</v>
      </c>
    </row>
    <row r="354" spans="1:2" x14ac:dyDescent="0.35">
      <c r="A354" s="85">
        <v>43591</v>
      </c>
      <c r="B354">
        <v>0.1188</v>
      </c>
    </row>
    <row r="355" spans="1:2" x14ac:dyDescent="0.35">
      <c r="A355" s="85">
        <v>43592</v>
      </c>
      <c r="B355">
        <v>0.1195</v>
      </c>
    </row>
    <row r="356" spans="1:2" x14ac:dyDescent="0.35">
      <c r="A356" s="85">
        <v>43593</v>
      </c>
      <c r="B356">
        <v>0.11650000000000001</v>
      </c>
    </row>
    <row r="357" spans="1:2" x14ac:dyDescent="0.35">
      <c r="A357" s="85">
        <v>43594</v>
      </c>
      <c r="B357">
        <v>0.1178</v>
      </c>
    </row>
    <row r="358" spans="1:2" x14ac:dyDescent="0.35">
      <c r="A358" s="85">
        <v>43595</v>
      </c>
      <c r="B358">
        <v>0.1172</v>
      </c>
    </row>
    <row r="359" spans="1:2" x14ac:dyDescent="0.35">
      <c r="A359" s="85">
        <v>43598</v>
      </c>
      <c r="B359">
        <v>0.11840000000000001</v>
      </c>
    </row>
    <row r="360" spans="1:2" x14ac:dyDescent="0.35">
      <c r="A360" s="85">
        <v>43599</v>
      </c>
      <c r="B360">
        <v>0.11940000000000001</v>
      </c>
    </row>
    <row r="361" spans="1:2" x14ac:dyDescent="0.35">
      <c r="A361" s="85">
        <v>43600</v>
      </c>
      <c r="B361">
        <v>0.11849999999999999</v>
      </c>
    </row>
    <row r="362" spans="1:2" x14ac:dyDescent="0.35">
      <c r="A362" s="85">
        <v>43601</v>
      </c>
      <c r="B362">
        <v>0.1178</v>
      </c>
    </row>
    <row r="363" spans="1:2" x14ac:dyDescent="0.35">
      <c r="A363" s="85">
        <v>43602</v>
      </c>
      <c r="B363">
        <v>0.11550000000000001</v>
      </c>
    </row>
    <row r="364" spans="1:2" x14ac:dyDescent="0.35">
      <c r="A364" s="85">
        <v>43605</v>
      </c>
      <c r="B364">
        <v>0.1162</v>
      </c>
    </row>
    <row r="365" spans="1:2" x14ac:dyDescent="0.35">
      <c r="A365" s="85">
        <v>43606</v>
      </c>
      <c r="B365">
        <v>0.1181</v>
      </c>
    </row>
    <row r="366" spans="1:2" x14ac:dyDescent="0.35">
      <c r="A366" s="85">
        <v>43607</v>
      </c>
      <c r="B366">
        <v>0.1162</v>
      </c>
    </row>
    <row r="367" spans="1:2" x14ac:dyDescent="0.35">
      <c r="A367" s="85">
        <v>43608</v>
      </c>
      <c r="B367">
        <v>0.1157</v>
      </c>
    </row>
    <row r="368" spans="1:2" x14ac:dyDescent="0.35">
      <c r="A368" s="85">
        <v>43609</v>
      </c>
      <c r="B368">
        <v>0.1166</v>
      </c>
    </row>
    <row r="369" spans="1:2" x14ac:dyDescent="0.35">
      <c r="A369" s="85">
        <v>43612</v>
      </c>
      <c r="B369">
        <v>0.1166</v>
      </c>
    </row>
    <row r="370" spans="1:2" x14ac:dyDescent="0.35">
      <c r="A370" s="85">
        <v>43613</v>
      </c>
      <c r="B370">
        <v>0.11749999999999999</v>
      </c>
    </row>
    <row r="371" spans="1:2" x14ac:dyDescent="0.35">
      <c r="A371" s="85">
        <v>43614</v>
      </c>
      <c r="B371">
        <v>0.1187</v>
      </c>
    </row>
    <row r="372" spans="1:2" x14ac:dyDescent="0.35">
      <c r="A372" s="85">
        <v>43615</v>
      </c>
      <c r="B372">
        <v>0.1176</v>
      </c>
    </row>
    <row r="373" spans="1:2" x14ac:dyDescent="0.35">
      <c r="A373" s="85">
        <v>43616</v>
      </c>
      <c r="B373">
        <v>0.121</v>
      </c>
    </row>
    <row r="374" spans="1:2" x14ac:dyDescent="0.35">
      <c r="A374" s="85">
        <v>43619</v>
      </c>
      <c r="B374">
        <v>0.12189999999999999</v>
      </c>
    </row>
    <row r="375" spans="1:2" x14ac:dyDescent="0.35">
      <c r="A375" s="85">
        <v>43620</v>
      </c>
      <c r="B375">
        <v>0.1242</v>
      </c>
    </row>
    <row r="376" spans="1:2" x14ac:dyDescent="0.35">
      <c r="A376" s="85">
        <v>43621</v>
      </c>
      <c r="B376">
        <v>0.1221</v>
      </c>
    </row>
    <row r="377" spans="1:2" x14ac:dyDescent="0.35">
      <c r="A377" s="85">
        <v>43622</v>
      </c>
      <c r="B377">
        <v>0.12509999999999999</v>
      </c>
    </row>
    <row r="378" spans="1:2" x14ac:dyDescent="0.35">
      <c r="A378" s="85">
        <v>43623</v>
      </c>
      <c r="B378">
        <v>0.125</v>
      </c>
    </row>
    <row r="379" spans="1:2" x14ac:dyDescent="0.35">
      <c r="A379" s="85">
        <v>43626</v>
      </c>
      <c r="B379">
        <v>0.124</v>
      </c>
    </row>
    <row r="380" spans="1:2" x14ac:dyDescent="0.35">
      <c r="A380" s="85">
        <v>43627</v>
      </c>
      <c r="B380">
        <v>0.12540000000000001</v>
      </c>
    </row>
    <row r="381" spans="1:2" x14ac:dyDescent="0.35">
      <c r="A381" s="85">
        <v>43628</v>
      </c>
      <c r="B381">
        <v>0.12620000000000001</v>
      </c>
    </row>
    <row r="382" spans="1:2" x14ac:dyDescent="0.35">
      <c r="A382" s="85">
        <v>43629</v>
      </c>
      <c r="B382">
        <v>0.1275</v>
      </c>
    </row>
    <row r="383" spans="1:2" x14ac:dyDescent="0.35">
      <c r="A383" s="85">
        <v>43630</v>
      </c>
      <c r="B383">
        <v>0.1275</v>
      </c>
    </row>
    <row r="384" spans="1:2" x14ac:dyDescent="0.35">
      <c r="A384" s="85">
        <v>43633</v>
      </c>
      <c r="B384">
        <v>0.12659999999999999</v>
      </c>
    </row>
    <row r="385" spans="1:2" x14ac:dyDescent="0.35">
      <c r="A385" s="85">
        <v>43634</v>
      </c>
      <c r="B385">
        <v>0.12609999999999999</v>
      </c>
    </row>
    <row r="386" spans="1:2" x14ac:dyDescent="0.35">
      <c r="A386" s="85">
        <v>43635</v>
      </c>
      <c r="B386">
        <v>0.125</v>
      </c>
    </row>
    <row r="387" spans="1:2" x14ac:dyDescent="0.35">
      <c r="A387" s="85">
        <v>43636</v>
      </c>
      <c r="B387">
        <v>0.12429999999999999</v>
      </c>
    </row>
    <row r="388" spans="1:2" x14ac:dyDescent="0.35">
      <c r="A388" s="85">
        <v>43637</v>
      </c>
      <c r="B388">
        <v>0.1222</v>
      </c>
    </row>
    <row r="389" spans="1:2" x14ac:dyDescent="0.35">
      <c r="A389" s="85">
        <v>43640</v>
      </c>
      <c r="B389">
        <v>0.1227</v>
      </c>
    </row>
    <row r="390" spans="1:2" x14ac:dyDescent="0.35">
      <c r="A390" s="85">
        <v>43641</v>
      </c>
      <c r="B390">
        <v>0.12379999999999999</v>
      </c>
    </row>
    <row r="391" spans="1:2" x14ac:dyDescent="0.35">
      <c r="A391" s="85">
        <v>43642</v>
      </c>
      <c r="B391">
        <v>0.1215</v>
      </c>
    </row>
    <row r="392" spans="1:2" x14ac:dyDescent="0.35">
      <c r="A392" s="85">
        <v>43643</v>
      </c>
      <c r="B392">
        <v>0.1268</v>
      </c>
    </row>
    <row r="393" spans="1:2" x14ac:dyDescent="0.35">
      <c r="A393" s="85">
        <v>43644</v>
      </c>
      <c r="B393">
        <v>0.12559999999999999</v>
      </c>
    </row>
    <row r="394" spans="1:2" x14ac:dyDescent="0.35">
      <c r="A394" s="85">
        <v>43647</v>
      </c>
      <c r="B394">
        <v>0.12570000000000001</v>
      </c>
    </row>
    <row r="395" spans="1:2" x14ac:dyDescent="0.35">
      <c r="A395" s="85">
        <v>43648</v>
      </c>
      <c r="B395">
        <v>0.1235</v>
      </c>
    </row>
    <row r="396" spans="1:2" x14ac:dyDescent="0.35">
      <c r="A396" s="85">
        <v>43649</v>
      </c>
      <c r="B396">
        <v>0.12540000000000001</v>
      </c>
    </row>
    <row r="397" spans="1:2" x14ac:dyDescent="0.35">
      <c r="A397" s="85">
        <v>43650</v>
      </c>
      <c r="B397">
        <v>0.12540000000000001</v>
      </c>
    </row>
    <row r="398" spans="1:2" x14ac:dyDescent="0.35">
      <c r="A398" s="85">
        <v>43651</v>
      </c>
      <c r="B398">
        <v>0.1236</v>
      </c>
    </row>
    <row r="399" spans="1:2" x14ac:dyDescent="0.35">
      <c r="A399" s="85">
        <v>43654</v>
      </c>
      <c r="B399">
        <v>0.1245</v>
      </c>
    </row>
    <row r="400" spans="1:2" x14ac:dyDescent="0.35">
      <c r="A400" s="85">
        <v>43655</v>
      </c>
      <c r="B400">
        <v>0.1235</v>
      </c>
    </row>
    <row r="401" spans="1:2" x14ac:dyDescent="0.35">
      <c r="A401" s="85">
        <v>43656</v>
      </c>
      <c r="B401">
        <v>0.125</v>
      </c>
    </row>
    <row r="402" spans="1:2" x14ac:dyDescent="0.35">
      <c r="A402" s="85">
        <v>43657</v>
      </c>
      <c r="B402">
        <v>0.12379999999999999</v>
      </c>
    </row>
    <row r="403" spans="1:2" x14ac:dyDescent="0.35">
      <c r="A403" s="85">
        <v>43658</v>
      </c>
      <c r="B403">
        <v>0.123</v>
      </c>
    </row>
    <row r="404" spans="1:2" x14ac:dyDescent="0.35">
      <c r="A404" s="85">
        <v>43661</v>
      </c>
      <c r="B404">
        <v>0.1206</v>
      </c>
    </row>
    <row r="405" spans="1:2" x14ac:dyDescent="0.35">
      <c r="A405" s="85">
        <v>43662</v>
      </c>
      <c r="B405">
        <v>0.11990000000000001</v>
      </c>
    </row>
    <row r="406" spans="1:2" x14ac:dyDescent="0.35">
      <c r="A406" s="85">
        <v>43663</v>
      </c>
      <c r="B406">
        <v>0.1179</v>
      </c>
    </row>
    <row r="407" spans="1:2" x14ac:dyDescent="0.35">
      <c r="A407" s="85">
        <v>43664</v>
      </c>
      <c r="B407">
        <v>0.11550000000000001</v>
      </c>
    </row>
    <row r="408" spans="1:2" x14ac:dyDescent="0.35">
      <c r="A408" s="85">
        <v>43665</v>
      </c>
      <c r="B408">
        <v>0.1159</v>
      </c>
    </row>
    <row r="409" spans="1:2" x14ac:dyDescent="0.35">
      <c r="A409" s="85">
        <v>43668</v>
      </c>
      <c r="B409">
        <v>0.11559999999999999</v>
      </c>
    </row>
    <row r="410" spans="1:2" x14ac:dyDescent="0.35">
      <c r="A410" s="85">
        <v>43669</v>
      </c>
      <c r="B410">
        <v>0.1198</v>
      </c>
    </row>
    <row r="411" spans="1:2" x14ac:dyDescent="0.35">
      <c r="A411" s="85">
        <v>43670</v>
      </c>
      <c r="B411">
        <v>0.1206</v>
      </c>
    </row>
    <row r="412" spans="1:2" x14ac:dyDescent="0.35">
      <c r="A412" s="85">
        <v>43671</v>
      </c>
      <c r="B412">
        <v>0.12</v>
      </c>
    </row>
    <row r="413" spans="1:2" x14ac:dyDescent="0.35">
      <c r="A413" s="85">
        <v>43672</v>
      </c>
      <c r="B413">
        <v>0.1202</v>
      </c>
    </row>
    <row r="414" spans="1:2" x14ac:dyDescent="0.35">
      <c r="A414" s="85">
        <v>43675</v>
      </c>
      <c r="B414">
        <v>0.1207</v>
      </c>
    </row>
    <row r="415" spans="1:2" x14ac:dyDescent="0.35">
      <c r="A415" s="85">
        <v>43676</v>
      </c>
      <c r="B415">
        <v>0.1215</v>
      </c>
    </row>
    <row r="416" spans="1:2" x14ac:dyDescent="0.35">
      <c r="A416" s="85">
        <v>43677</v>
      </c>
      <c r="B416">
        <v>0.1221</v>
      </c>
    </row>
    <row r="417" spans="1:2" x14ac:dyDescent="0.35">
      <c r="A417" s="85">
        <v>43678</v>
      </c>
      <c r="B417">
        <v>0.1212</v>
      </c>
    </row>
    <row r="418" spans="1:2" x14ac:dyDescent="0.35">
      <c r="A418" s="85">
        <v>43679</v>
      </c>
      <c r="B418">
        <v>0.1202</v>
      </c>
    </row>
    <row r="419" spans="1:2" x14ac:dyDescent="0.35">
      <c r="A419" s="85">
        <v>43682</v>
      </c>
      <c r="B419">
        <v>0.1182</v>
      </c>
    </row>
    <row r="420" spans="1:2" x14ac:dyDescent="0.35">
      <c r="A420" s="85">
        <v>43683</v>
      </c>
      <c r="B420">
        <v>0.1173</v>
      </c>
    </row>
    <row r="421" spans="1:2" x14ac:dyDescent="0.35">
      <c r="A421" s="85">
        <v>43684</v>
      </c>
      <c r="B421">
        <v>0.1134</v>
      </c>
    </row>
    <row r="422" spans="1:2" x14ac:dyDescent="0.35">
      <c r="A422" s="85">
        <v>43685</v>
      </c>
      <c r="B422">
        <v>0.1143</v>
      </c>
    </row>
    <row r="423" spans="1:2" x14ac:dyDescent="0.35">
      <c r="A423" s="85">
        <v>43686</v>
      </c>
      <c r="B423">
        <v>0.1186</v>
      </c>
    </row>
    <row r="424" spans="1:2" x14ac:dyDescent="0.35">
      <c r="A424" s="85">
        <v>43689</v>
      </c>
      <c r="B424">
        <v>0.11559999999999999</v>
      </c>
    </row>
    <row r="425" spans="1:2" x14ac:dyDescent="0.35">
      <c r="A425" s="85">
        <v>43690</v>
      </c>
      <c r="B425">
        <v>0.1172</v>
      </c>
    </row>
    <row r="426" spans="1:2" x14ac:dyDescent="0.35">
      <c r="A426" s="85">
        <v>43691</v>
      </c>
      <c r="B426">
        <v>0.11609999999999999</v>
      </c>
    </row>
    <row r="427" spans="1:2" x14ac:dyDescent="0.35">
      <c r="A427" s="85">
        <v>43692</v>
      </c>
      <c r="B427">
        <v>0.1163</v>
      </c>
    </row>
    <row r="428" spans="1:2" x14ac:dyDescent="0.35">
      <c r="A428" s="85">
        <v>43693</v>
      </c>
      <c r="B428">
        <v>0.1164</v>
      </c>
    </row>
    <row r="429" spans="1:2" x14ac:dyDescent="0.35">
      <c r="A429" s="85">
        <v>43696</v>
      </c>
      <c r="B429">
        <v>0.1147</v>
      </c>
    </row>
    <row r="430" spans="1:2" x14ac:dyDescent="0.35">
      <c r="A430" s="85">
        <v>43697</v>
      </c>
      <c r="B430">
        <v>0.1144</v>
      </c>
    </row>
    <row r="431" spans="1:2" x14ac:dyDescent="0.35">
      <c r="A431" s="85">
        <v>43698</v>
      </c>
      <c r="B431">
        <v>0.1139</v>
      </c>
    </row>
    <row r="432" spans="1:2" x14ac:dyDescent="0.35">
      <c r="A432" s="85">
        <v>43699</v>
      </c>
      <c r="B432">
        <v>0.1158</v>
      </c>
    </row>
    <row r="433" spans="1:2" x14ac:dyDescent="0.35">
      <c r="A433" s="85">
        <v>43700</v>
      </c>
      <c r="B433">
        <v>0.1147</v>
      </c>
    </row>
    <row r="434" spans="1:2" x14ac:dyDescent="0.35">
      <c r="A434" s="85">
        <v>43703</v>
      </c>
      <c r="B434">
        <v>0.1143</v>
      </c>
    </row>
    <row r="435" spans="1:2" x14ac:dyDescent="0.35">
      <c r="A435" s="85">
        <v>43704</v>
      </c>
      <c r="B435">
        <v>0.1124</v>
      </c>
    </row>
    <row r="436" spans="1:2" x14ac:dyDescent="0.35">
      <c r="A436" s="85">
        <v>43705</v>
      </c>
      <c r="B436">
        <v>0.1137</v>
      </c>
    </row>
    <row r="437" spans="1:2" x14ac:dyDescent="0.35">
      <c r="A437" s="85">
        <v>43706</v>
      </c>
      <c r="B437">
        <v>0.11210000000000001</v>
      </c>
    </row>
    <row r="438" spans="1:2" x14ac:dyDescent="0.35">
      <c r="A438" s="85">
        <v>43707</v>
      </c>
      <c r="B438">
        <v>0.1114</v>
      </c>
    </row>
    <row r="439" spans="1:2" x14ac:dyDescent="0.35">
      <c r="A439" s="85">
        <v>43710</v>
      </c>
      <c r="B439">
        <v>0.1114</v>
      </c>
    </row>
    <row r="440" spans="1:2" x14ac:dyDescent="0.35">
      <c r="A440" s="85">
        <v>43711</v>
      </c>
      <c r="B440">
        <v>0.1119</v>
      </c>
    </row>
    <row r="441" spans="1:2" x14ac:dyDescent="0.35">
      <c r="A441" s="85">
        <v>43712</v>
      </c>
      <c r="B441">
        <v>0.1101</v>
      </c>
    </row>
    <row r="442" spans="1:2" x14ac:dyDescent="0.35">
      <c r="A442" s="85">
        <v>43713</v>
      </c>
      <c r="B442">
        <v>0.10970000000000001</v>
      </c>
    </row>
    <row r="443" spans="1:2" x14ac:dyDescent="0.35">
      <c r="A443" s="85">
        <v>43714</v>
      </c>
      <c r="B443">
        <v>0.11020000000000001</v>
      </c>
    </row>
    <row r="444" spans="1:2" x14ac:dyDescent="0.35">
      <c r="A444" s="85">
        <v>43717</v>
      </c>
      <c r="B444">
        <v>0.10920000000000001</v>
      </c>
    </row>
    <row r="445" spans="1:2" x14ac:dyDescent="0.35">
      <c r="A445" s="85">
        <v>43718</v>
      </c>
      <c r="B445">
        <v>0.10879999999999999</v>
      </c>
    </row>
    <row r="446" spans="1:2" x14ac:dyDescent="0.35">
      <c r="A446" s="85">
        <v>43719</v>
      </c>
      <c r="B446">
        <v>0.1081</v>
      </c>
    </row>
    <row r="447" spans="1:2" x14ac:dyDescent="0.35">
      <c r="A447" s="85">
        <v>43720</v>
      </c>
      <c r="B447">
        <v>0.1076</v>
      </c>
    </row>
    <row r="448" spans="1:2" x14ac:dyDescent="0.35">
      <c r="A448" s="85">
        <v>43721</v>
      </c>
      <c r="B448">
        <v>0.1089</v>
      </c>
    </row>
    <row r="449" spans="1:2" x14ac:dyDescent="0.35">
      <c r="A449" s="85">
        <v>43724</v>
      </c>
      <c r="B449">
        <v>0.1109</v>
      </c>
    </row>
    <row r="450" spans="1:2" x14ac:dyDescent="0.35">
      <c r="A450" s="85">
        <v>43725</v>
      </c>
      <c r="B450">
        <v>0.1094</v>
      </c>
    </row>
    <row r="451" spans="1:2" x14ac:dyDescent="0.35">
      <c r="A451" s="85">
        <v>43726</v>
      </c>
      <c r="B451">
        <v>0.11</v>
      </c>
    </row>
    <row r="452" spans="1:2" x14ac:dyDescent="0.35">
      <c r="A452" s="85">
        <v>43727</v>
      </c>
      <c r="B452">
        <v>0.1099</v>
      </c>
    </row>
    <row r="453" spans="1:2" x14ac:dyDescent="0.35">
      <c r="A453" s="85">
        <v>43728</v>
      </c>
      <c r="B453">
        <v>0.1109</v>
      </c>
    </row>
    <row r="454" spans="1:2" x14ac:dyDescent="0.35">
      <c r="A454" s="85">
        <v>43731</v>
      </c>
      <c r="B454">
        <v>0.11219999999999999</v>
      </c>
    </row>
    <row r="455" spans="1:2" x14ac:dyDescent="0.35">
      <c r="A455" s="85">
        <v>43732</v>
      </c>
      <c r="B455">
        <v>0.115</v>
      </c>
    </row>
    <row r="456" spans="1:2" x14ac:dyDescent="0.35">
      <c r="A456" s="85">
        <v>43733</v>
      </c>
      <c r="B456">
        <v>0.1197</v>
      </c>
    </row>
    <row r="457" spans="1:2" x14ac:dyDescent="0.35">
      <c r="A457" s="85">
        <v>43734</v>
      </c>
      <c r="B457">
        <v>0.1203</v>
      </c>
    </row>
    <row r="458" spans="1:2" x14ac:dyDescent="0.35">
      <c r="A458" s="85">
        <v>43735</v>
      </c>
      <c r="B458">
        <v>0.12180000000000001</v>
      </c>
    </row>
    <row r="459" spans="1:2" x14ac:dyDescent="0.35">
      <c r="A459" s="85">
        <v>43738</v>
      </c>
      <c r="B459">
        <v>0.125</v>
      </c>
    </row>
    <row r="460" spans="1:2" x14ac:dyDescent="0.35">
      <c r="A460" s="85">
        <v>43739</v>
      </c>
      <c r="B460">
        <v>0.1288</v>
      </c>
    </row>
    <row r="461" spans="1:2" x14ac:dyDescent="0.35">
      <c r="A461" s="85">
        <v>43740</v>
      </c>
      <c r="B461">
        <v>0.12889999999999999</v>
      </c>
    </row>
    <row r="462" spans="1:2" x14ac:dyDescent="0.35">
      <c r="A462" s="85">
        <v>43741</v>
      </c>
      <c r="B462">
        <v>0.12740000000000001</v>
      </c>
    </row>
    <row r="463" spans="1:2" x14ac:dyDescent="0.35">
      <c r="A463" s="85">
        <v>43742</v>
      </c>
      <c r="B463">
        <v>0.12759999999999999</v>
      </c>
    </row>
    <row r="464" spans="1:2" x14ac:dyDescent="0.35">
      <c r="A464" s="85">
        <v>43745</v>
      </c>
      <c r="B464">
        <v>0.12520000000000001</v>
      </c>
    </row>
    <row r="465" spans="1:2" x14ac:dyDescent="0.35">
      <c r="A465" s="85">
        <v>43746</v>
      </c>
      <c r="B465">
        <v>0.1246</v>
      </c>
    </row>
    <row r="466" spans="1:2" x14ac:dyDescent="0.35">
      <c r="A466" s="85">
        <v>43747</v>
      </c>
      <c r="B466">
        <v>0.1241</v>
      </c>
    </row>
    <row r="467" spans="1:2" x14ac:dyDescent="0.35">
      <c r="A467" s="85">
        <v>43748</v>
      </c>
      <c r="B467">
        <v>0.1241</v>
      </c>
    </row>
    <row r="468" spans="1:2" x14ac:dyDescent="0.35">
      <c r="A468" s="85">
        <v>43749</v>
      </c>
      <c r="B468">
        <v>0.1241</v>
      </c>
    </row>
    <row r="469" spans="1:2" x14ac:dyDescent="0.35">
      <c r="A469" s="85">
        <v>43752</v>
      </c>
      <c r="B469">
        <v>0.12520000000000001</v>
      </c>
    </row>
    <row r="470" spans="1:2" x14ac:dyDescent="0.35">
      <c r="A470" s="85">
        <v>43753</v>
      </c>
      <c r="B470">
        <v>0.12590000000000001</v>
      </c>
    </row>
    <row r="471" spans="1:2" x14ac:dyDescent="0.35">
      <c r="A471" s="85">
        <v>43754</v>
      </c>
      <c r="B471">
        <v>0.1235</v>
      </c>
    </row>
    <row r="472" spans="1:2" x14ac:dyDescent="0.35">
      <c r="A472" s="85">
        <v>43755</v>
      </c>
      <c r="B472">
        <v>0.12239999999999999</v>
      </c>
    </row>
    <row r="473" spans="1:2" x14ac:dyDescent="0.35">
      <c r="A473" s="85">
        <v>43756</v>
      </c>
      <c r="B473">
        <v>0.1232</v>
      </c>
    </row>
    <row r="474" spans="1:2" x14ac:dyDescent="0.35">
      <c r="A474" s="85">
        <v>43759</v>
      </c>
      <c r="B474">
        <v>0.1227</v>
      </c>
    </row>
    <row r="475" spans="1:2" x14ac:dyDescent="0.35">
      <c r="A475" s="85">
        <v>43760</v>
      </c>
      <c r="B475">
        <v>0.12180000000000001</v>
      </c>
    </row>
    <row r="476" spans="1:2" x14ac:dyDescent="0.35">
      <c r="A476" s="85">
        <v>43761</v>
      </c>
      <c r="B476">
        <v>0.1215</v>
      </c>
    </row>
    <row r="477" spans="1:2" x14ac:dyDescent="0.35">
      <c r="A477" s="85">
        <v>43762</v>
      </c>
      <c r="B477">
        <v>0.123</v>
      </c>
    </row>
    <row r="478" spans="1:2" x14ac:dyDescent="0.35">
      <c r="A478" s="85">
        <v>43763</v>
      </c>
      <c r="B478">
        <v>0.1235</v>
      </c>
    </row>
    <row r="479" spans="1:2" x14ac:dyDescent="0.35">
      <c r="A479" s="85">
        <v>43766</v>
      </c>
      <c r="B479">
        <v>0.12540000000000001</v>
      </c>
    </row>
    <row r="480" spans="1:2" x14ac:dyDescent="0.35">
      <c r="A480" s="85">
        <v>43767</v>
      </c>
      <c r="B480">
        <v>0.1234</v>
      </c>
    </row>
    <row r="481" spans="1:2" x14ac:dyDescent="0.35">
      <c r="A481" s="85">
        <v>43768</v>
      </c>
      <c r="B481">
        <v>0.1241</v>
      </c>
    </row>
    <row r="482" spans="1:2" x14ac:dyDescent="0.35">
      <c r="A482" s="85">
        <v>43769</v>
      </c>
      <c r="B482">
        <v>0.12479999999999999</v>
      </c>
    </row>
    <row r="483" spans="1:2" x14ac:dyDescent="0.35">
      <c r="A483" s="85">
        <v>43770</v>
      </c>
      <c r="B483">
        <v>0.12479999999999999</v>
      </c>
    </row>
    <row r="484" spans="1:2" x14ac:dyDescent="0.35">
      <c r="A484" s="85">
        <v>43773</v>
      </c>
      <c r="B484">
        <v>0.12509999999999999</v>
      </c>
    </row>
    <row r="485" spans="1:2" x14ac:dyDescent="0.35">
      <c r="A485" s="85">
        <v>43774</v>
      </c>
      <c r="B485">
        <v>0.12709999999999999</v>
      </c>
    </row>
    <row r="486" spans="1:2" x14ac:dyDescent="0.35">
      <c r="A486" s="85">
        <v>43775</v>
      </c>
      <c r="B486">
        <v>0.12559999999999999</v>
      </c>
    </row>
    <row r="487" spans="1:2" x14ac:dyDescent="0.35">
      <c r="A487" s="85">
        <v>43776</v>
      </c>
      <c r="B487">
        <v>0.1239</v>
      </c>
    </row>
    <row r="488" spans="1:2" x14ac:dyDescent="0.35">
      <c r="A488" s="85">
        <v>43777</v>
      </c>
      <c r="B488">
        <v>0.12570000000000001</v>
      </c>
    </row>
    <row r="489" spans="1:2" x14ac:dyDescent="0.35">
      <c r="A489" s="85">
        <v>43780</v>
      </c>
      <c r="B489">
        <v>0.12570000000000001</v>
      </c>
    </row>
    <row r="490" spans="1:2" x14ac:dyDescent="0.35">
      <c r="A490" s="85">
        <v>43781</v>
      </c>
      <c r="B490">
        <v>0.12590000000000001</v>
      </c>
    </row>
    <row r="491" spans="1:2" x14ac:dyDescent="0.35">
      <c r="A491" s="85">
        <v>43782</v>
      </c>
      <c r="B491">
        <v>0.1285</v>
      </c>
    </row>
    <row r="492" spans="1:2" x14ac:dyDescent="0.35">
      <c r="A492" s="85">
        <v>43783</v>
      </c>
      <c r="B492">
        <v>0.12809999999999999</v>
      </c>
    </row>
    <row r="493" spans="1:2" x14ac:dyDescent="0.35">
      <c r="A493" s="85">
        <v>43784</v>
      </c>
      <c r="B493">
        <v>0.1273</v>
      </c>
    </row>
    <row r="494" spans="1:2" x14ac:dyDescent="0.35">
      <c r="A494" s="85">
        <v>43787</v>
      </c>
      <c r="B494">
        <v>0.12759999999999999</v>
      </c>
    </row>
    <row r="495" spans="1:2" x14ac:dyDescent="0.35">
      <c r="A495" s="85">
        <v>43788</v>
      </c>
      <c r="B495">
        <v>0.12690000000000001</v>
      </c>
    </row>
    <row r="496" spans="1:2" x14ac:dyDescent="0.35">
      <c r="A496" s="85">
        <v>43789</v>
      </c>
      <c r="B496">
        <v>0.1275</v>
      </c>
    </row>
    <row r="497" spans="1:2" x14ac:dyDescent="0.35">
      <c r="A497" s="85">
        <v>43790</v>
      </c>
      <c r="B497">
        <v>0.12609999999999999</v>
      </c>
    </row>
    <row r="498" spans="1:2" x14ac:dyDescent="0.35">
      <c r="A498" s="85">
        <v>43791</v>
      </c>
      <c r="B498">
        <v>0.1283</v>
      </c>
    </row>
    <row r="499" spans="1:2" x14ac:dyDescent="0.35">
      <c r="A499" s="85">
        <v>43794</v>
      </c>
      <c r="B499">
        <v>0.12820000000000001</v>
      </c>
    </row>
    <row r="500" spans="1:2" x14ac:dyDescent="0.35">
      <c r="A500" s="85">
        <v>43795</v>
      </c>
      <c r="B500">
        <v>0.1278</v>
      </c>
    </row>
    <row r="501" spans="1:2" x14ac:dyDescent="0.35">
      <c r="A501" s="85">
        <v>43796</v>
      </c>
      <c r="B501">
        <v>0.12790000000000001</v>
      </c>
    </row>
    <row r="502" spans="1:2" x14ac:dyDescent="0.35">
      <c r="A502" s="85">
        <v>43797</v>
      </c>
      <c r="B502">
        <v>0.12790000000000001</v>
      </c>
    </row>
    <row r="503" spans="1:2" x14ac:dyDescent="0.35">
      <c r="A503" s="85">
        <v>43798</v>
      </c>
      <c r="B503">
        <v>0.12939999999999999</v>
      </c>
    </row>
    <row r="504" spans="1:2" x14ac:dyDescent="0.35">
      <c r="A504" s="85">
        <v>43801</v>
      </c>
      <c r="B504">
        <v>0.1275</v>
      </c>
    </row>
    <row r="505" spans="1:2" x14ac:dyDescent="0.35">
      <c r="A505" s="85">
        <v>43802</v>
      </c>
      <c r="B505">
        <v>0.12859999999999999</v>
      </c>
    </row>
    <row r="506" spans="1:2" x14ac:dyDescent="0.35">
      <c r="A506" s="85">
        <v>43803</v>
      </c>
      <c r="B506">
        <v>0.13059999999999999</v>
      </c>
    </row>
    <row r="507" spans="1:2" x14ac:dyDescent="0.35">
      <c r="A507" s="85">
        <v>43804</v>
      </c>
      <c r="B507">
        <v>0.1308</v>
      </c>
    </row>
    <row r="508" spans="1:2" x14ac:dyDescent="0.35">
      <c r="A508" s="85">
        <v>43805</v>
      </c>
      <c r="B508">
        <v>0.1318</v>
      </c>
    </row>
    <row r="509" spans="1:2" x14ac:dyDescent="0.35">
      <c r="A509" s="85">
        <v>43808</v>
      </c>
      <c r="B509">
        <v>0.1338</v>
      </c>
    </row>
    <row r="510" spans="1:2" x14ac:dyDescent="0.35">
      <c r="A510" s="85">
        <v>43809</v>
      </c>
      <c r="B510">
        <v>0.1346</v>
      </c>
    </row>
    <row r="511" spans="1:2" x14ac:dyDescent="0.35">
      <c r="A511" s="85">
        <v>43810</v>
      </c>
      <c r="B511">
        <v>0.13420000000000001</v>
      </c>
    </row>
    <row r="512" spans="1:2" x14ac:dyDescent="0.35">
      <c r="A512" s="85">
        <v>43811</v>
      </c>
      <c r="B512">
        <v>0.13519999999999999</v>
      </c>
    </row>
    <row r="513" spans="1:2" x14ac:dyDescent="0.35">
      <c r="A513" s="85">
        <v>43812</v>
      </c>
      <c r="B513">
        <v>0.13500000000000001</v>
      </c>
    </row>
    <row r="514" spans="1:2" x14ac:dyDescent="0.35">
      <c r="A514" s="85">
        <v>43815</v>
      </c>
      <c r="B514">
        <v>0.13289999999999999</v>
      </c>
    </row>
    <row r="515" spans="1:2" x14ac:dyDescent="0.35">
      <c r="A515" s="85">
        <v>43816</v>
      </c>
      <c r="B515">
        <v>0.13270000000000001</v>
      </c>
    </row>
    <row r="516" spans="1:2" x14ac:dyDescent="0.35">
      <c r="A516" s="85">
        <v>43817</v>
      </c>
      <c r="B516">
        <v>0.1343</v>
      </c>
    </row>
    <row r="517" spans="1:2" x14ac:dyDescent="0.35">
      <c r="A517" s="85">
        <v>43818</v>
      </c>
      <c r="B517">
        <v>0.13550000000000001</v>
      </c>
    </row>
    <row r="518" spans="1:2" x14ac:dyDescent="0.35">
      <c r="A518" s="85">
        <v>43819</v>
      </c>
      <c r="B518">
        <v>0.13539999999999999</v>
      </c>
    </row>
    <row r="519" spans="1:2" x14ac:dyDescent="0.35">
      <c r="A519" s="85">
        <v>43822</v>
      </c>
      <c r="B519">
        <v>0.13450000000000001</v>
      </c>
    </row>
    <row r="520" spans="1:2" x14ac:dyDescent="0.35">
      <c r="A520" s="85">
        <v>43823</v>
      </c>
      <c r="B520">
        <v>0.13370000000000001</v>
      </c>
    </row>
    <row r="521" spans="1:2" x14ac:dyDescent="0.35">
      <c r="A521" s="85">
        <v>43825</v>
      </c>
      <c r="B521">
        <v>0.13439999999999999</v>
      </c>
    </row>
    <row r="522" spans="1:2" x14ac:dyDescent="0.35">
      <c r="A522" s="85">
        <v>43826</v>
      </c>
      <c r="B522">
        <v>0.13539999999999999</v>
      </c>
    </row>
    <row r="523" spans="1:2" x14ac:dyDescent="0.35">
      <c r="A523" s="85">
        <v>43829</v>
      </c>
      <c r="B523">
        <v>0.1353</v>
      </c>
    </row>
    <row r="524" spans="1:2" x14ac:dyDescent="0.35">
      <c r="A524" s="85">
        <v>43830</v>
      </c>
      <c r="B524">
        <v>0.13420000000000001</v>
      </c>
    </row>
    <row r="525" spans="1:2" x14ac:dyDescent="0.35">
      <c r="A525" s="85">
        <v>43832</v>
      </c>
      <c r="B525">
        <v>0.1313</v>
      </c>
    </row>
    <row r="526" spans="1:2" x14ac:dyDescent="0.35">
      <c r="A526" s="85">
        <v>43833</v>
      </c>
      <c r="B526">
        <v>0.1331</v>
      </c>
    </row>
    <row r="527" spans="1:2" x14ac:dyDescent="0.35">
      <c r="A527" s="85">
        <v>43836</v>
      </c>
      <c r="B527">
        <v>0.13730000000000001</v>
      </c>
    </row>
    <row r="528" spans="1:2" x14ac:dyDescent="0.35">
      <c r="A528" s="85">
        <v>43837</v>
      </c>
      <c r="B528">
        <v>0.13589999999999999</v>
      </c>
    </row>
    <row r="529" spans="1:2" x14ac:dyDescent="0.35">
      <c r="A529" s="85">
        <v>43838</v>
      </c>
      <c r="B529">
        <v>0.13469999999999999</v>
      </c>
    </row>
    <row r="530" spans="1:2" x14ac:dyDescent="0.35">
      <c r="A530" s="85">
        <v>43839</v>
      </c>
      <c r="B530">
        <v>0.1371</v>
      </c>
    </row>
    <row r="531" spans="1:2" x14ac:dyDescent="0.35">
      <c r="A531" s="85">
        <v>43840</v>
      </c>
      <c r="B531">
        <v>0.14069999999999999</v>
      </c>
    </row>
    <row r="532" spans="1:2" x14ac:dyDescent="0.35">
      <c r="A532" s="85">
        <v>43843</v>
      </c>
      <c r="B532">
        <v>0.1416</v>
      </c>
    </row>
    <row r="533" spans="1:2" x14ac:dyDescent="0.35">
      <c r="A533" s="85">
        <v>43844</v>
      </c>
      <c r="B533">
        <v>0.14319999999999999</v>
      </c>
    </row>
    <row r="534" spans="1:2" x14ac:dyDescent="0.35">
      <c r="A534" s="85">
        <v>43845</v>
      </c>
      <c r="B534">
        <v>0.1452</v>
      </c>
    </row>
    <row r="535" spans="1:2" x14ac:dyDescent="0.35">
      <c r="A535" s="85">
        <v>43846</v>
      </c>
      <c r="B535">
        <v>0.14430000000000001</v>
      </c>
    </row>
    <row r="536" spans="1:2" x14ac:dyDescent="0.35">
      <c r="A536" s="85">
        <v>43847</v>
      </c>
      <c r="B536">
        <v>0.14449999999999999</v>
      </c>
    </row>
    <row r="537" spans="1:2" x14ac:dyDescent="0.35">
      <c r="A537" s="85">
        <v>43850</v>
      </c>
      <c r="B537">
        <v>0.14449999999999999</v>
      </c>
    </row>
    <row r="538" spans="1:2" x14ac:dyDescent="0.35">
      <c r="A538" s="85">
        <v>43851</v>
      </c>
      <c r="B538">
        <v>0.14549999999999999</v>
      </c>
    </row>
    <row r="539" spans="1:2" x14ac:dyDescent="0.35">
      <c r="A539" s="85">
        <v>43852</v>
      </c>
      <c r="B539">
        <v>0.14660000000000001</v>
      </c>
    </row>
    <row r="540" spans="1:2" x14ac:dyDescent="0.35">
      <c r="A540" s="85">
        <v>43853</v>
      </c>
      <c r="B540">
        <v>0.1457</v>
      </c>
    </row>
    <row r="541" spans="1:2" x14ac:dyDescent="0.35">
      <c r="A541" s="85">
        <v>43854</v>
      </c>
      <c r="B541">
        <v>0.1439</v>
      </c>
    </row>
    <row r="542" spans="1:2" x14ac:dyDescent="0.35">
      <c r="A542" s="85">
        <v>43857</v>
      </c>
      <c r="B542">
        <v>0.1421</v>
      </c>
    </row>
    <row r="543" spans="1:2" x14ac:dyDescent="0.35">
      <c r="A543" s="85">
        <v>43858</v>
      </c>
      <c r="B543">
        <v>0.1454</v>
      </c>
    </row>
    <row r="544" spans="1:2" x14ac:dyDescent="0.35">
      <c r="A544" s="85">
        <v>43859</v>
      </c>
      <c r="B544">
        <v>0.1449</v>
      </c>
    </row>
    <row r="545" spans="1:2" x14ac:dyDescent="0.35">
      <c r="A545" s="85">
        <v>43860</v>
      </c>
      <c r="B545">
        <v>0.1459</v>
      </c>
    </row>
    <row r="546" spans="1:2" x14ac:dyDescent="0.35">
      <c r="A546" s="85">
        <v>43861</v>
      </c>
      <c r="B546">
        <v>0.14610000000000001</v>
      </c>
    </row>
    <row r="547" spans="1:2" x14ac:dyDescent="0.35">
      <c r="A547" s="85">
        <v>43864</v>
      </c>
      <c r="B547">
        <v>0.1489</v>
      </c>
    </row>
    <row r="548" spans="1:2" x14ac:dyDescent="0.35">
      <c r="A548" s="85">
        <v>43865</v>
      </c>
      <c r="B548">
        <v>0.14710000000000001</v>
      </c>
    </row>
    <row r="549" spans="1:2" x14ac:dyDescent="0.35">
      <c r="A549" s="85">
        <v>43866</v>
      </c>
      <c r="B549">
        <v>0.14729999999999999</v>
      </c>
    </row>
    <row r="550" spans="1:2" x14ac:dyDescent="0.35">
      <c r="A550" s="85">
        <v>43867</v>
      </c>
      <c r="B550">
        <v>0.1474</v>
      </c>
    </row>
    <row r="551" spans="1:2" x14ac:dyDescent="0.35">
      <c r="A551" s="85">
        <v>43868</v>
      </c>
      <c r="B551">
        <v>0.1492</v>
      </c>
    </row>
    <row r="552" spans="1:2" x14ac:dyDescent="0.35">
      <c r="A552" s="85">
        <v>43871</v>
      </c>
      <c r="B552">
        <v>0.15040000000000001</v>
      </c>
    </row>
    <row r="553" spans="1:2" x14ac:dyDescent="0.35">
      <c r="A553" s="85">
        <v>43872</v>
      </c>
      <c r="B553">
        <v>0.15409999999999999</v>
      </c>
    </row>
    <row r="554" spans="1:2" x14ac:dyDescent="0.35">
      <c r="A554" s="85">
        <v>43873</v>
      </c>
      <c r="B554">
        <v>0.1578</v>
      </c>
    </row>
    <row r="555" spans="1:2" x14ac:dyDescent="0.35">
      <c r="A555" s="85">
        <v>43874</v>
      </c>
      <c r="B555">
        <v>0.15160000000000001</v>
      </c>
    </row>
    <row r="556" spans="1:2" x14ac:dyDescent="0.35">
      <c r="A556" s="85">
        <v>43875</v>
      </c>
      <c r="B556">
        <v>0.15060000000000001</v>
      </c>
    </row>
    <row r="557" spans="1:2" x14ac:dyDescent="0.35">
      <c r="A557" s="85">
        <v>43878</v>
      </c>
      <c r="B557">
        <v>0.15060000000000001</v>
      </c>
    </row>
    <row r="558" spans="1:2" x14ac:dyDescent="0.35">
      <c r="A558" s="85">
        <v>43879</v>
      </c>
      <c r="B558">
        <v>0.15279999999999999</v>
      </c>
    </row>
    <row r="559" spans="1:2" x14ac:dyDescent="0.35">
      <c r="A559" s="85">
        <v>43880</v>
      </c>
      <c r="B559">
        <v>0.15579999999999999</v>
      </c>
    </row>
    <row r="560" spans="1:2" x14ac:dyDescent="0.35">
      <c r="A560" s="85">
        <v>43881</v>
      </c>
      <c r="B560">
        <v>0.154</v>
      </c>
    </row>
    <row r="561" spans="1:2" x14ac:dyDescent="0.35">
      <c r="A561" s="85">
        <v>43882</v>
      </c>
      <c r="B561">
        <v>0.15590000000000001</v>
      </c>
    </row>
    <row r="562" spans="1:2" x14ac:dyDescent="0.35">
      <c r="A562" s="85">
        <v>43885</v>
      </c>
      <c r="B562">
        <v>0.1527</v>
      </c>
    </row>
    <row r="563" spans="1:2" x14ac:dyDescent="0.35">
      <c r="A563" s="85">
        <v>43886</v>
      </c>
      <c r="B563">
        <v>0.1507</v>
      </c>
    </row>
    <row r="564" spans="1:2" x14ac:dyDescent="0.35">
      <c r="A564" s="85">
        <v>43887</v>
      </c>
      <c r="B564">
        <v>0.1469</v>
      </c>
    </row>
    <row r="565" spans="1:2" x14ac:dyDescent="0.35">
      <c r="A565" s="85">
        <v>43888</v>
      </c>
      <c r="B565">
        <v>0.14280000000000001</v>
      </c>
    </row>
    <row r="566" spans="1:2" x14ac:dyDescent="0.35">
      <c r="A566" s="85">
        <v>43889</v>
      </c>
      <c r="B566">
        <v>0.14199999999999999</v>
      </c>
    </row>
    <row r="567" spans="1:2" x14ac:dyDescent="0.35">
      <c r="A567" s="85">
        <v>43892</v>
      </c>
      <c r="B567">
        <v>0.1381</v>
      </c>
    </row>
    <row r="568" spans="1:2" x14ac:dyDescent="0.35">
      <c r="A568" s="85">
        <v>43893</v>
      </c>
      <c r="B568">
        <v>0.1376</v>
      </c>
    </row>
    <row r="569" spans="1:2" x14ac:dyDescent="0.35">
      <c r="A569" s="85">
        <v>43894</v>
      </c>
      <c r="B569">
        <v>0.13469999999999999</v>
      </c>
    </row>
    <row r="570" spans="1:2" x14ac:dyDescent="0.35">
      <c r="A570" s="85">
        <v>43895</v>
      </c>
      <c r="B570">
        <v>0.13420000000000001</v>
      </c>
    </row>
    <row r="571" spans="1:2" x14ac:dyDescent="0.35">
      <c r="A571" s="85">
        <v>43896</v>
      </c>
      <c r="B571">
        <v>0.13020000000000001</v>
      </c>
    </row>
    <row r="572" spans="1:2" x14ac:dyDescent="0.35">
      <c r="A572" s="85">
        <v>43899</v>
      </c>
      <c r="B572">
        <v>0.12609999999999999</v>
      </c>
    </row>
    <row r="573" spans="1:2" x14ac:dyDescent="0.35">
      <c r="A573" s="85">
        <v>43900</v>
      </c>
      <c r="B573">
        <v>0.12590000000000001</v>
      </c>
    </row>
    <row r="574" spans="1:2" x14ac:dyDescent="0.35">
      <c r="A574" s="85">
        <v>43901</v>
      </c>
      <c r="B574">
        <v>0.1226</v>
      </c>
    </row>
    <row r="575" spans="1:2" x14ac:dyDescent="0.35">
      <c r="A575" s="85">
        <v>43902</v>
      </c>
      <c r="B575">
        <v>0.1162</v>
      </c>
    </row>
    <row r="576" spans="1:2" x14ac:dyDescent="0.35">
      <c r="A576" s="85">
        <v>43903</v>
      </c>
      <c r="B576">
        <v>0.11700000000000001</v>
      </c>
    </row>
    <row r="577" spans="1:2" x14ac:dyDescent="0.35">
      <c r="A577" s="85">
        <v>43906</v>
      </c>
      <c r="B577">
        <v>0.1109</v>
      </c>
    </row>
    <row r="578" spans="1:2" x14ac:dyDescent="0.35">
      <c r="A578" s="85">
        <v>43907</v>
      </c>
      <c r="B578">
        <v>0.1089</v>
      </c>
    </row>
    <row r="579" spans="1:2" x14ac:dyDescent="0.35">
      <c r="A579" s="85">
        <v>43908</v>
      </c>
      <c r="B579">
        <v>0.1067</v>
      </c>
    </row>
    <row r="580" spans="1:2" x14ac:dyDescent="0.35">
      <c r="A580" s="85">
        <v>43909</v>
      </c>
      <c r="B580">
        <v>0.10589999999999999</v>
      </c>
    </row>
    <row r="581" spans="1:2" x14ac:dyDescent="0.35">
      <c r="A581" s="85">
        <v>43910</v>
      </c>
      <c r="B581">
        <v>0.1091</v>
      </c>
    </row>
    <row r="582" spans="1:2" x14ac:dyDescent="0.35">
      <c r="A582" s="85">
        <v>43913</v>
      </c>
      <c r="B582">
        <v>0.1104</v>
      </c>
    </row>
    <row r="583" spans="1:2" x14ac:dyDescent="0.35">
      <c r="A583" s="85">
        <v>43914</v>
      </c>
      <c r="B583">
        <v>0.11269999999999999</v>
      </c>
    </row>
    <row r="584" spans="1:2" x14ac:dyDescent="0.35">
      <c r="A584" s="85">
        <v>43915</v>
      </c>
      <c r="B584">
        <v>0.11409999999999999</v>
      </c>
    </row>
    <row r="585" spans="1:2" x14ac:dyDescent="0.35">
      <c r="A585" s="85">
        <v>43916</v>
      </c>
      <c r="B585">
        <v>0.1133</v>
      </c>
    </row>
    <row r="586" spans="1:2" x14ac:dyDescent="0.35">
      <c r="A586" s="85">
        <v>43917</v>
      </c>
      <c r="B586">
        <v>0.111</v>
      </c>
    </row>
    <row r="587" spans="1:2" x14ac:dyDescent="0.35">
      <c r="A587" s="85">
        <v>43920</v>
      </c>
      <c r="B587">
        <v>0.10730000000000001</v>
      </c>
    </row>
    <row r="588" spans="1:2" x14ac:dyDescent="0.35">
      <c r="A588" s="85">
        <v>43921</v>
      </c>
      <c r="B588">
        <v>0.1042</v>
      </c>
    </row>
    <row r="589" spans="1:2" x14ac:dyDescent="0.35">
      <c r="A589" s="85">
        <v>43922</v>
      </c>
      <c r="B589">
        <v>0.1004</v>
      </c>
    </row>
    <row r="590" spans="1:2" x14ac:dyDescent="0.35">
      <c r="A590" s="85">
        <v>43923</v>
      </c>
      <c r="B590">
        <v>0.10290000000000001</v>
      </c>
    </row>
    <row r="591" spans="1:2" x14ac:dyDescent="0.35">
      <c r="A591" s="85">
        <v>43924</v>
      </c>
      <c r="B591">
        <v>0.1031</v>
      </c>
    </row>
    <row r="592" spans="1:2" x14ac:dyDescent="0.35">
      <c r="A592" s="85">
        <v>43927</v>
      </c>
      <c r="B592">
        <v>0.1045</v>
      </c>
    </row>
    <row r="593" spans="1:2" x14ac:dyDescent="0.35">
      <c r="A593" s="85">
        <v>43928</v>
      </c>
      <c r="B593">
        <v>0.1038</v>
      </c>
    </row>
    <row r="594" spans="1:2" x14ac:dyDescent="0.35">
      <c r="A594" s="85">
        <v>43929</v>
      </c>
      <c r="B594">
        <v>0.1037</v>
      </c>
    </row>
    <row r="595" spans="1:2" x14ac:dyDescent="0.35">
      <c r="A595" s="85">
        <v>43930</v>
      </c>
      <c r="B595">
        <v>0.1043</v>
      </c>
    </row>
    <row r="596" spans="1:2" x14ac:dyDescent="0.35">
      <c r="A596" s="85">
        <v>43934</v>
      </c>
      <c r="B596">
        <v>0.1017</v>
      </c>
    </row>
    <row r="597" spans="1:2" x14ac:dyDescent="0.35">
      <c r="A597" s="85">
        <v>43935</v>
      </c>
      <c r="B597">
        <v>0.10050000000000001</v>
      </c>
    </row>
    <row r="598" spans="1:2" x14ac:dyDescent="0.35">
      <c r="A598" s="85">
        <v>43936</v>
      </c>
      <c r="B598">
        <v>0.1016</v>
      </c>
    </row>
    <row r="599" spans="1:2" x14ac:dyDescent="0.35">
      <c r="A599" s="85">
        <v>43937</v>
      </c>
      <c r="B599">
        <v>0.1016</v>
      </c>
    </row>
    <row r="600" spans="1:2" x14ac:dyDescent="0.35">
      <c r="A600" s="85">
        <v>43938</v>
      </c>
      <c r="B600">
        <v>0.1037</v>
      </c>
    </row>
    <row r="601" spans="1:2" x14ac:dyDescent="0.35">
      <c r="A601" s="85">
        <v>43941</v>
      </c>
      <c r="B601">
        <v>0.10059999999999999</v>
      </c>
    </row>
    <row r="602" spans="1:2" x14ac:dyDescent="0.35">
      <c r="A602" s="85">
        <v>43942</v>
      </c>
      <c r="B602">
        <v>9.7500000000000003E-2</v>
      </c>
    </row>
    <row r="603" spans="1:2" x14ac:dyDescent="0.35">
      <c r="A603" s="85">
        <v>43943</v>
      </c>
      <c r="B603">
        <v>9.8299999999999998E-2</v>
      </c>
    </row>
    <row r="604" spans="1:2" x14ac:dyDescent="0.35">
      <c r="A604" s="85">
        <v>43944</v>
      </c>
      <c r="B604">
        <v>9.8400000000000001E-2</v>
      </c>
    </row>
    <row r="605" spans="1:2" x14ac:dyDescent="0.35">
      <c r="A605" s="85">
        <v>43945</v>
      </c>
      <c r="B605">
        <v>9.7299999999999998E-2</v>
      </c>
    </row>
    <row r="606" spans="1:2" x14ac:dyDescent="0.35">
      <c r="A606" s="85">
        <v>43948</v>
      </c>
      <c r="B606">
        <v>9.2399999999999996E-2</v>
      </c>
    </row>
    <row r="607" spans="1:2" x14ac:dyDescent="0.35">
      <c r="A607" s="85">
        <v>43949</v>
      </c>
      <c r="B607">
        <v>9.4100000000000003E-2</v>
      </c>
    </row>
    <row r="608" spans="1:2" x14ac:dyDescent="0.35">
      <c r="A608" s="85">
        <v>43950</v>
      </c>
      <c r="B608">
        <v>9.8599999999999993E-2</v>
      </c>
    </row>
    <row r="609" spans="1:2" x14ac:dyDescent="0.35">
      <c r="A609" s="85">
        <v>43951</v>
      </c>
      <c r="B609">
        <v>0.1037</v>
      </c>
    </row>
    <row r="610" spans="1:2" x14ac:dyDescent="0.35">
      <c r="A610" s="85">
        <v>43952</v>
      </c>
      <c r="B610">
        <v>0.10970000000000001</v>
      </c>
    </row>
    <row r="611" spans="1:2" x14ac:dyDescent="0.35">
      <c r="A611" s="85">
        <v>43955</v>
      </c>
      <c r="B611">
        <v>0.104</v>
      </c>
    </row>
    <row r="612" spans="1:2" x14ac:dyDescent="0.35">
      <c r="A612" s="85">
        <v>43956</v>
      </c>
      <c r="B612">
        <v>0.10780000000000001</v>
      </c>
    </row>
    <row r="613" spans="1:2" x14ac:dyDescent="0.35">
      <c r="A613" s="85">
        <v>43957</v>
      </c>
      <c r="B613">
        <v>0.1027</v>
      </c>
    </row>
    <row r="614" spans="1:2" x14ac:dyDescent="0.35">
      <c r="A614" s="85">
        <v>43958</v>
      </c>
      <c r="B614">
        <v>0.1033</v>
      </c>
    </row>
    <row r="615" spans="1:2" x14ac:dyDescent="0.35">
      <c r="A615" s="85">
        <v>43959</v>
      </c>
      <c r="B615">
        <v>0.10290000000000001</v>
      </c>
    </row>
    <row r="616" spans="1:2" x14ac:dyDescent="0.35">
      <c r="A616" s="85">
        <v>43962</v>
      </c>
      <c r="B616">
        <v>0.1012</v>
      </c>
    </row>
    <row r="617" spans="1:2" x14ac:dyDescent="0.35">
      <c r="A617" s="85">
        <v>43963</v>
      </c>
      <c r="B617">
        <v>0.10249999999999999</v>
      </c>
    </row>
    <row r="618" spans="1:2" x14ac:dyDescent="0.35">
      <c r="A618" s="85">
        <v>43964</v>
      </c>
      <c r="B618">
        <v>0.1026</v>
      </c>
    </row>
    <row r="619" spans="1:2" x14ac:dyDescent="0.35">
      <c r="A619" s="85">
        <v>43965</v>
      </c>
      <c r="B619">
        <v>0.1046</v>
      </c>
    </row>
    <row r="620" spans="1:2" x14ac:dyDescent="0.35">
      <c r="A620" s="85">
        <v>43966</v>
      </c>
      <c r="B620">
        <v>0.1038</v>
      </c>
    </row>
    <row r="621" spans="1:2" x14ac:dyDescent="0.35">
      <c r="A621" s="85">
        <v>43969</v>
      </c>
      <c r="B621">
        <v>0.108</v>
      </c>
    </row>
    <row r="622" spans="1:2" x14ac:dyDescent="0.35">
      <c r="A622" s="85">
        <v>43970</v>
      </c>
      <c r="B622">
        <v>0.1085</v>
      </c>
    </row>
    <row r="623" spans="1:2" x14ac:dyDescent="0.35">
      <c r="A623" s="85">
        <v>43971</v>
      </c>
      <c r="B623">
        <v>0.1119</v>
      </c>
    </row>
    <row r="624" spans="1:2" x14ac:dyDescent="0.35">
      <c r="A624" s="85">
        <v>43972</v>
      </c>
      <c r="B624">
        <v>0.10979999999999999</v>
      </c>
    </row>
    <row r="625" spans="1:2" x14ac:dyDescent="0.35">
      <c r="A625" s="85">
        <v>43973</v>
      </c>
      <c r="B625">
        <v>0.10929999999999999</v>
      </c>
    </row>
    <row r="626" spans="1:2" x14ac:dyDescent="0.35">
      <c r="A626" s="85">
        <v>43976</v>
      </c>
      <c r="B626">
        <v>0.10929999999999999</v>
      </c>
    </row>
    <row r="627" spans="1:2" x14ac:dyDescent="0.35">
      <c r="A627" s="85">
        <v>43977</v>
      </c>
      <c r="B627">
        <v>0.1105</v>
      </c>
    </row>
    <row r="628" spans="1:2" x14ac:dyDescent="0.35">
      <c r="A628" s="85">
        <v>43978</v>
      </c>
      <c r="B628">
        <v>0.108</v>
      </c>
    </row>
    <row r="629" spans="1:2" x14ac:dyDescent="0.35">
      <c r="A629" s="85">
        <v>43979</v>
      </c>
      <c r="B629">
        <v>0.108</v>
      </c>
    </row>
    <row r="630" spans="1:2" x14ac:dyDescent="0.35">
      <c r="A630" s="85">
        <v>43980</v>
      </c>
      <c r="B630">
        <v>0.1091</v>
      </c>
    </row>
    <row r="631" spans="1:2" x14ac:dyDescent="0.35">
      <c r="A631" s="85">
        <v>43983</v>
      </c>
      <c r="B631">
        <v>0.11</v>
      </c>
    </row>
    <row r="632" spans="1:2" x14ac:dyDescent="0.35">
      <c r="A632" s="85">
        <v>43984</v>
      </c>
      <c r="B632">
        <v>0.11219999999999999</v>
      </c>
    </row>
    <row r="633" spans="1:2" x14ac:dyDescent="0.35">
      <c r="A633" s="85">
        <v>43985</v>
      </c>
      <c r="B633">
        <v>0.1162</v>
      </c>
    </row>
    <row r="634" spans="1:2" x14ac:dyDescent="0.35">
      <c r="A634" s="85">
        <v>43986</v>
      </c>
      <c r="B634">
        <v>0.1173</v>
      </c>
    </row>
    <row r="635" spans="1:2" x14ac:dyDescent="0.35">
      <c r="A635" s="85">
        <v>43987</v>
      </c>
      <c r="B635">
        <v>0.1202</v>
      </c>
    </row>
    <row r="636" spans="1:2" x14ac:dyDescent="0.35">
      <c r="A636" s="85">
        <v>43990</v>
      </c>
      <c r="B636">
        <v>0.11940000000000001</v>
      </c>
    </row>
    <row r="637" spans="1:2" x14ac:dyDescent="0.35">
      <c r="A637" s="85">
        <v>43991</v>
      </c>
      <c r="B637">
        <v>0.12</v>
      </c>
    </row>
    <row r="638" spans="1:2" x14ac:dyDescent="0.35">
      <c r="A638" s="85">
        <v>43992</v>
      </c>
      <c r="B638">
        <v>0.12230000000000001</v>
      </c>
    </row>
    <row r="639" spans="1:2" x14ac:dyDescent="0.35">
      <c r="A639" s="85">
        <v>43993</v>
      </c>
      <c r="B639">
        <v>0.11940000000000001</v>
      </c>
    </row>
    <row r="640" spans="1:2" x14ac:dyDescent="0.35">
      <c r="A640" s="85">
        <v>43994</v>
      </c>
      <c r="B640">
        <v>0.1187</v>
      </c>
    </row>
    <row r="641" spans="1:2" x14ac:dyDescent="0.35">
      <c r="A641" s="85">
        <v>43997</v>
      </c>
      <c r="B641">
        <v>0.12039999999999999</v>
      </c>
    </row>
    <row r="642" spans="1:2" x14ac:dyDescent="0.35">
      <c r="A642" s="85">
        <v>43998</v>
      </c>
      <c r="B642">
        <v>0.12189999999999999</v>
      </c>
    </row>
    <row r="643" spans="1:2" x14ac:dyDescent="0.35">
      <c r="A643" s="85">
        <v>43999</v>
      </c>
      <c r="B643">
        <v>0.1211</v>
      </c>
    </row>
    <row r="644" spans="1:2" x14ac:dyDescent="0.35">
      <c r="A644" s="85">
        <v>44000</v>
      </c>
      <c r="B644">
        <v>0.11890000000000001</v>
      </c>
    </row>
    <row r="645" spans="1:2" x14ac:dyDescent="0.35">
      <c r="A645" s="85">
        <v>44001</v>
      </c>
      <c r="B645">
        <v>0.1205</v>
      </c>
    </row>
    <row r="646" spans="1:2" x14ac:dyDescent="0.35">
      <c r="A646" s="85">
        <v>44004</v>
      </c>
      <c r="B646">
        <v>0.1192</v>
      </c>
    </row>
    <row r="647" spans="1:2" x14ac:dyDescent="0.35">
      <c r="A647" s="85">
        <v>44005</v>
      </c>
      <c r="B647">
        <v>0.1179</v>
      </c>
    </row>
    <row r="648" spans="1:2" x14ac:dyDescent="0.35">
      <c r="A648" s="85">
        <v>44006</v>
      </c>
      <c r="B648">
        <v>0.11749999999999999</v>
      </c>
    </row>
    <row r="649" spans="1:2" x14ac:dyDescent="0.35">
      <c r="A649" s="85">
        <v>44007</v>
      </c>
      <c r="B649">
        <v>0.1183</v>
      </c>
    </row>
    <row r="650" spans="1:2" x14ac:dyDescent="0.35">
      <c r="A650" s="85">
        <v>44008</v>
      </c>
      <c r="B650">
        <v>0.1158</v>
      </c>
    </row>
    <row r="651" spans="1:2" x14ac:dyDescent="0.35">
      <c r="A651" s="85">
        <v>44011</v>
      </c>
      <c r="B651">
        <v>0.11749999999999999</v>
      </c>
    </row>
    <row r="652" spans="1:2" x14ac:dyDescent="0.35">
      <c r="A652" s="85">
        <v>44012</v>
      </c>
      <c r="B652">
        <v>0.11940000000000001</v>
      </c>
    </row>
    <row r="653" spans="1:2" x14ac:dyDescent="0.35">
      <c r="A653" s="85">
        <v>44013</v>
      </c>
      <c r="B653">
        <v>0.1217</v>
      </c>
    </row>
    <row r="654" spans="1:2" x14ac:dyDescent="0.35">
      <c r="A654" s="85">
        <v>44014</v>
      </c>
      <c r="B654">
        <v>0.12239999999999999</v>
      </c>
    </row>
    <row r="655" spans="1:2" x14ac:dyDescent="0.35">
      <c r="A655" s="85">
        <v>44018</v>
      </c>
      <c r="B655">
        <v>0.1193</v>
      </c>
    </row>
    <row r="656" spans="1:2" x14ac:dyDescent="0.35">
      <c r="A656" s="85">
        <v>44019</v>
      </c>
      <c r="B656">
        <v>0.12180000000000001</v>
      </c>
    </row>
    <row r="657" spans="1:2" x14ac:dyDescent="0.35">
      <c r="A657" s="85">
        <v>44020</v>
      </c>
      <c r="B657">
        <v>0.1208</v>
      </c>
    </row>
    <row r="658" spans="1:2" x14ac:dyDescent="0.35">
      <c r="A658" s="85">
        <v>44021</v>
      </c>
      <c r="B658">
        <v>0.11840000000000001</v>
      </c>
    </row>
    <row r="659" spans="1:2" x14ac:dyDescent="0.35">
      <c r="A659" s="85">
        <v>44022</v>
      </c>
      <c r="B659">
        <v>0.1176</v>
      </c>
    </row>
    <row r="660" spans="1:2" x14ac:dyDescent="0.35">
      <c r="A660" s="85">
        <v>44025</v>
      </c>
      <c r="B660">
        <v>0.1158</v>
      </c>
    </row>
    <row r="661" spans="1:2" x14ac:dyDescent="0.35">
      <c r="A661" s="85">
        <v>44026</v>
      </c>
      <c r="B661">
        <v>0.1132</v>
      </c>
    </row>
    <row r="662" spans="1:2" x14ac:dyDescent="0.35">
      <c r="A662" s="85">
        <v>44027</v>
      </c>
      <c r="B662">
        <v>0.1182</v>
      </c>
    </row>
    <row r="663" spans="1:2" x14ac:dyDescent="0.35">
      <c r="A663" s="85">
        <v>44028</v>
      </c>
      <c r="B663">
        <v>0.1179</v>
      </c>
    </row>
    <row r="664" spans="1:2" x14ac:dyDescent="0.35">
      <c r="A664" s="85">
        <v>44029</v>
      </c>
      <c r="B664">
        <v>0.1173</v>
      </c>
    </row>
    <row r="665" spans="1:2" x14ac:dyDescent="0.35">
      <c r="A665" s="85">
        <v>44032</v>
      </c>
      <c r="B665">
        <v>0.1172</v>
      </c>
    </row>
    <row r="666" spans="1:2" x14ac:dyDescent="0.35">
      <c r="A666" s="85">
        <v>44033</v>
      </c>
      <c r="B666">
        <v>0.1167</v>
      </c>
    </row>
    <row r="667" spans="1:2" x14ac:dyDescent="0.35">
      <c r="A667" s="85">
        <v>44034</v>
      </c>
      <c r="B667">
        <v>0.1186</v>
      </c>
    </row>
    <row r="668" spans="1:2" x14ac:dyDescent="0.35">
      <c r="A668" s="85">
        <v>44035</v>
      </c>
      <c r="B668">
        <v>0.1177</v>
      </c>
    </row>
    <row r="669" spans="1:2" x14ac:dyDescent="0.35">
      <c r="A669" s="85">
        <v>44036</v>
      </c>
      <c r="B669">
        <v>0.1149</v>
      </c>
    </row>
    <row r="670" spans="1:2" x14ac:dyDescent="0.35">
      <c r="A670" s="85">
        <v>44039</v>
      </c>
      <c r="B670">
        <v>0.1212</v>
      </c>
    </row>
    <row r="671" spans="1:2" x14ac:dyDescent="0.35">
      <c r="A671" s="85">
        <v>44040</v>
      </c>
      <c r="B671">
        <v>0.1201</v>
      </c>
    </row>
    <row r="672" spans="1:2" x14ac:dyDescent="0.35">
      <c r="A672" s="85">
        <v>44041</v>
      </c>
      <c r="B672">
        <v>0.1201</v>
      </c>
    </row>
    <row r="673" spans="1:2" x14ac:dyDescent="0.35">
      <c r="A673" s="85">
        <v>44042</v>
      </c>
      <c r="B673">
        <v>0.1211</v>
      </c>
    </row>
    <row r="674" spans="1:2" x14ac:dyDescent="0.35">
      <c r="A674" s="85">
        <v>44043</v>
      </c>
      <c r="B674">
        <v>0.12640000000000001</v>
      </c>
    </row>
    <row r="675" spans="1:2" x14ac:dyDescent="0.35">
      <c r="A675" s="85">
        <v>44046</v>
      </c>
      <c r="B675">
        <v>0.12720000000000001</v>
      </c>
    </row>
    <row r="676" spans="1:2" x14ac:dyDescent="0.35">
      <c r="A676" s="85">
        <v>44047</v>
      </c>
      <c r="B676">
        <v>0.1278</v>
      </c>
    </row>
    <row r="677" spans="1:2" x14ac:dyDescent="0.35">
      <c r="A677" s="85">
        <v>44048</v>
      </c>
      <c r="B677">
        <v>0.12540000000000001</v>
      </c>
    </row>
    <row r="678" spans="1:2" x14ac:dyDescent="0.35">
      <c r="A678" s="85">
        <v>44049</v>
      </c>
      <c r="B678">
        <v>0.12939999999999999</v>
      </c>
    </row>
    <row r="679" spans="1:2" x14ac:dyDescent="0.35">
      <c r="A679" s="85">
        <v>44050</v>
      </c>
      <c r="B679">
        <v>0.12670000000000001</v>
      </c>
    </row>
    <row r="680" spans="1:2" x14ac:dyDescent="0.35">
      <c r="A680" s="85">
        <v>44053</v>
      </c>
      <c r="B680">
        <v>0.1255</v>
      </c>
    </row>
    <row r="681" spans="1:2" x14ac:dyDescent="0.35">
      <c r="A681" s="85">
        <v>44054</v>
      </c>
      <c r="B681">
        <v>0.12740000000000001</v>
      </c>
    </row>
    <row r="682" spans="1:2" x14ac:dyDescent="0.35">
      <c r="A682" s="85">
        <v>44055</v>
      </c>
      <c r="B682">
        <v>0.12839999999999999</v>
      </c>
    </row>
    <row r="683" spans="1:2" x14ac:dyDescent="0.35">
      <c r="A683" s="85">
        <v>44056</v>
      </c>
      <c r="B683">
        <v>0.13109999999999999</v>
      </c>
    </row>
    <row r="684" spans="1:2" x14ac:dyDescent="0.35">
      <c r="A684" s="85">
        <v>44057</v>
      </c>
      <c r="B684">
        <v>0.13100000000000001</v>
      </c>
    </row>
    <row r="685" spans="1:2" x14ac:dyDescent="0.35">
      <c r="A685" s="85">
        <v>44060</v>
      </c>
      <c r="B685">
        <v>0.13059999999999999</v>
      </c>
    </row>
    <row r="686" spans="1:2" x14ac:dyDescent="0.35">
      <c r="A686" s="85">
        <v>44061</v>
      </c>
      <c r="B686">
        <v>0.12889999999999999</v>
      </c>
    </row>
    <row r="687" spans="1:2" x14ac:dyDescent="0.35">
      <c r="A687" s="85">
        <v>44062</v>
      </c>
      <c r="B687">
        <v>0.13239999999999999</v>
      </c>
    </row>
    <row r="688" spans="1:2" x14ac:dyDescent="0.35">
      <c r="A688" s="85">
        <v>44063</v>
      </c>
      <c r="B688">
        <v>0.13009999999999999</v>
      </c>
    </row>
    <row r="689" spans="1:2" x14ac:dyDescent="0.35">
      <c r="A689" s="85">
        <v>44064</v>
      </c>
      <c r="B689">
        <v>0.1283</v>
      </c>
    </row>
    <row r="690" spans="1:2" x14ac:dyDescent="0.35">
      <c r="A690" s="85">
        <v>44067</v>
      </c>
      <c r="B690">
        <v>0.12709999999999999</v>
      </c>
    </row>
    <row r="691" spans="1:2" x14ac:dyDescent="0.35">
      <c r="A691" s="85">
        <v>44068</v>
      </c>
      <c r="B691">
        <v>0.12759999999999999</v>
      </c>
    </row>
    <row r="692" spans="1:2" x14ac:dyDescent="0.35">
      <c r="A692" s="85">
        <v>44069</v>
      </c>
      <c r="B692">
        <v>0.1258</v>
      </c>
    </row>
    <row r="693" spans="1:2" x14ac:dyDescent="0.35">
      <c r="A693" s="85">
        <v>44070</v>
      </c>
      <c r="B693">
        <v>0.12770000000000001</v>
      </c>
    </row>
    <row r="694" spans="1:2" x14ac:dyDescent="0.35">
      <c r="A694" s="85">
        <v>44071</v>
      </c>
      <c r="B694">
        <v>0.126</v>
      </c>
    </row>
    <row r="695" spans="1:2" x14ac:dyDescent="0.35">
      <c r="A695" s="85">
        <v>44074</v>
      </c>
      <c r="B695">
        <v>0.12659999999999999</v>
      </c>
    </row>
    <row r="696" spans="1:2" x14ac:dyDescent="0.35">
      <c r="A696" s="85">
        <v>44075</v>
      </c>
      <c r="B696">
        <v>0.126</v>
      </c>
    </row>
    <row r="697" spans="1:2" x14ac:dyDescent="0.35">
      <c r="A697" s="85">
        <v>44076</v>
      </c>
      <c r="B697">
        <v>0.1244</v>
      </c>
    </row>
    <row r="698" spans="1:2" x14ac:dyDescent="0.35">
      <c r="A698" s="85">
        <v>44077</v>
      </c>
      <c r="B698">
        <v>0.1207</v>
      </c>
    </row>
    <row r="699" spans="1:2" x14ac:dyDescent="0.35">
      <c r="A699" s="85">
        <v>44078</v>
      </c>
      <c r="B699">
        <v>0.1193</v>
      </c>
    </row>
    <row r="700" spans="1:2" x14ac:dyDescent="0.35">
      <c r="A700" s="85">
        <v>44081</v>
      </c>
      <c r="B700">
        <v>0.1193</v>
      </c>
    </row>
    <row r="701" spans="1:2" x14ac:dyDescent="0.35">
      <c r="A701" s="85">
        <v>44082</v>
      </c>
      <c r="B701">
        <v>0.12039999999999999</v>
      </c>
    </row>
    <row r="702" spans="1:2" x14ac:dyDescent="0.35">
      <c r="A702" s="85">
        <v>44083</v>
      </c>
      <c r="B702">
        <v>0.1203</v>
      </c>
    </row>
    <row r="703" spans="1:2" x14ac:dyDescent="0.35">
      <c r="A703" s="85">
        <v>44084</v>
      </c>
      <c r="B703">
        <v>0.1191</v>
      </c>
    </row>
    <row r="704" spans="1:2" x14ac:dyDescent="0.35">
      <c r="A704" s="85">
        <v>44085</v>
      </c>
      <c r="B704">
        <v>0.1192</v>
      </c>
    </row>
    <row r="705" spans="1:2" x14ac:dyDescent="0.35">
      <c r="A705" s="85">
        <v>44088</v>
      </c>
      <c r="B705">
        <v>0.1176</v>
      </c>
    </row>
    <row r="706" spans="1:2" x14ac:dyDescent="0.35">
      <c r="A706" s="85">
        <v>44089</v>
      </c>
      <c r="B706">
        <v>0.1208</v>
      </c>
    </row>
    <row r="707" spans="1:2" x14ac:dyDescent="0.35">
      <c r="A707" s="85">
        <v>44090</v>
      </c>
      <c r="B707">
        <v>0.1235</v>
      </c>
    </row>
    <row r="708" spans="1:2" x14ac:dyDescent="0.35">
      <c r="A708" s="85">
        <v>44091</v>
      </c>
      <c r="B708">
        <v>0.12620000000000001</v>
      </c>
    </row>
    <row r="709" spans="1:2" x14ac:dyDescent="0.35">
      <c r="A709" s="85">
        <v>44092</v>
      </c>
      <c r="B709">
        <v>0.12770000000000001</v>
      </c>
    </row>
    <row r="710" spans="1:2" x14ac:dyDescent="0.35">
      <c r="A710" s="85">
        <v>44095</v>
      </c>
      <c r="B710">
        <v>0.1255</v>
      </c>
    </row>
    <row r="711" spans="1:2" x14ac:dyDescent="0.35">
      <c r="A711" s="85">
        <v>44096</v>
      </c>
      <c r="B711">
        <v>0.12889999999999999</v>
      </c>
    </row>
    <row r="712" spans="1:2" x14ac:dyDescent="0.35">
      <c r="A712" s="85">
        <v>44097</v>
      </c>
      <c r="B712">
        <v>0.12820000000000001</v>
      </c>
    </row>
    <row r="713" spans="1:2" x14ac:dyDescent="0.35">
      <c r="A713" s="85">
        <v>44098</v>
      </c>
      <c r="B713">
        <v>0.12839999999999999</v>
      </c>
    </row>
    <row r="714" spans="1:2" x14ac:dyDescent="0.35">
      <c r="A714" s="85">
        <v>44099</v>
      </c>
      <c r="B714">
        <v>0.13100000000000001</v>
      </c>
    </row>
    <row r="715" spans="1:2" x14ac:dyDescent="0.35">
      <c r="A715" s="85">
        <v>44102</v>
      </c>
      <c r="B715">
        <v>0.12770000000000001</v>
      </c>
    </row>
    <row r="716" spans="1:2" x14ac:dyDescent="0.35">
      <c r="A716" s="85">
        <v>44103</v>
      </c>
      <c r="B716">
        <v>0.13250000000000001</v>
      </c>
    </row>
    <row r="717" spans="1:2" x14ac:dyDescent="0.35">
      <c r="A717" s="85">
        <v>44104</v>
      </c>
      <c r="B717">
        <v>0.13420000000000001</v>
      </c>
    </row>
    <row r="718" spans="1:2" x14ac:dyDescent="0.35">
      <c r="A718" s="85">
        <v>44105</v>
      </c>
      <c r="B718">
        <v>0.1358</v>
      </c>
    </row>
    <row r="719" spans="1:2" x14ac:dyDescent="0.35">
      <c r="A719" s="85">
        <v>44106</v>
      </c>
      <c r="B719">
        <v>0.13550000000000001</v>
      </c>
    </row>
    <row r="720" spans="1:2" x14ac:dyDescent="0.35">
      <c r="A720" s="85">
        <v>44109</v>
      </c>
      <c r="B720">
        <v>0.1361</v>
      </c>
    </row>
    <row r="721" spans="1:2" x14ac:dyDescent="0.35">
      <c r="A721" s="85">
        <v>44110</v>
      </c>
      <c r="B721">
        <v>0.13880000000000001</v>
      </c>
    </row>
    <row r="722" spans="1:2" x14ac:dyDescent="0.35">
      <c r="A722" s="85">
        <v>44111</v>
      </c>
      <c r="B722">
        <v>0.1414</v>
      </c>
    </row>
    <row r="723" spans="1:2" x14ac:dyDescent="0.35">
      <c r="A723" s="85">
        <v>44112</v>
      </c>
      <c r="B723">
        <v>0.14169999999999999</v>
      </c>
    </row>
    <row r="724" spans="1:2" x14ac:dyDescent="0.35">
      <c r="A724" s="85">
        <v>44113</v>
      </c>
      <c r="B724">
        <v>0.14230000000000001</v>
      </c>
    </row>
    <row r="725" spans="1:2" x14ac:dyDescent="0.35">
      <c r="A725" s="85">
        <v>44116</v>
      </c>
      <c r="B725">
        <v>0.1384</v>
      </c>
    </row>
    <row r="726" spans="1:2" x14ac:dyDescent="0.35">
      <c r="A726" s="85">
        <v>44117</v>
      </c>
      <c r="B726">
        <v>0.1401</v>
      </c>
    </row>
    <row r="727" spans="1:2" x14ac:dyDescent="0.35">
      <c r="A727" s="85">
        <v>44118</v>
      </c>
      <c r="B727">
        <v>0.14199999999999999</v>
      </c>
    </row>
    <row r="728" spans="1:2" x14ac:dyDescent="0.35">
      <c r="A728" s="85">
        <v>44119</v>
      </c>
      <c r="B728">
        <v>0.14180000000000001</v>
      </c>
    </row>
    <row r="729" spans="1:2" x14ac:dyDescent="0.35">
      <c r="A729" s="85">
        <v>44120</v>
      </c>
      <c r="B729">
        <v>0.14430000000000001</v>
      </c>
    </row>
    <row r="730" spans="1:2" x14ac:dyDescent="0.35">
      <c r="A730" s="85">
        <v>44123</v>
      </c>
      <c r="B730">
        <v>0.1472</v>
      </c>
    </row>
    <row r="731" spans="1:2" x14ac:dyDescent="0.35">
      <c r="A731" s="85">
        <v>44124</v>
      </c>
      <c r="B731">
        <v>0.1454</v>
      </c>
    </row>
    <row r="732" spans="1:2" x14ac:dyDescent="0.35">
      <c r="A732" s="85">
        <v>44125</v>
      </c>
      <c r="B732">
        <v>0.14499999999999999</v>
      </c>
    </row>
    <row r="733" spans="1:2" x14ac:dyDescent="0.35">
      <c r="A733" s="85">
        <v>44126</v>
      </c>
      <c r="B733">
        <v>0.14779999999999999</v>
      </c>
    </row>
    <row r="734" spans="1:2" x14ac:dyDescent="0.35">
      <c r="A734" s="85">
        <v>44127</v>
      </c>
      <c r="B734">
        <v>0.1472</v>
      </c>
    </row>
    <row r="735" spans="1:2" x14ac:dyDescent="0.35">
      <c r="A735" s="85">
        <v>44130</v>
      </c>
      <c r="B735">
        <v>0.1477</v>
      </c>
    </row>
    <row r="736" spans="1:2" x14ac:dyDescent="0.35">
      <c r="A736" s="85">
        <v>44131</v>
      </c>
      <c r="B736">
        <v>0.14829999999999999</v>
      </c>
    </row>
    <row r="737" spans="1:2" x14ac:dyDescent="0.35">
      <c r="A737" s="85">
        <v>44132</v>
      </c>
      <c r="B737">
        <v>0.1489</v>
      </c>
    </row>
    <row r="738" spans="1:2" x14ac:dyDescent="0.35">
      <c r="A738" s="85">
        <v>44133</v>
      </c>
      <c r="B738">
        <v>0.14399999999999999</v>
      </c>
    </row>
    <row r="739" spans="1:2" x14ac:dyDescent="0.35">
      <c r="A739" s="85">
        <v>44134</v>
      </c>
      <c r="B739">
        <v>0.14360000000000001</v>
      </c>
    </row>
    <row r="740" spans="1:2" x14ac:dyDescent="0.35">
      <c r="A740" s="85">
        <v>44137</v>
      </c>
      <c r="B740">
        <v>0.1497</v>
      </c>
    </row>
    <row r="741" spans="1:2" x14ac:dyDescent="0.35">
      <c r="A741" s="85">
        <v>44138</v>
      </c>
      <c r="B741">
        <v>0.1472</v>
      </c>
    </row>
    <row r="742" spans="1:2" x14ac:dyDescent="0.35">
      <c r="A742" s="85">
        <v>44139</v>
      </c>
      <c r="B742">
        <v>0.14649999999999999</v>
      </c>
    </row>
    <row r="743" spans="1:2" x14ac:dyDescent="0.35">
      <c r="A743" s="85">
        <v>44140</v>
      </c>
      <c r="B743">
        <v>0.14480000000000001</v>
      </c>
    </row>
    <row r="744" spans="1:2" x14ac:dyDescent="0.35">
      <c r="A744" s="85">
        <v>44141</v>
      </c>
      <c r="B744">
        <v>0.14910000000000001</v>
      </c>
    </row>
    <row r="745" spans="1:2" x14ac:dyDescent="0.35">
      <c r="A745" s="85">
        <v>44144</v>
      </c>
      <c r="B745">
        <v>0.14879999999999999</v>
      </c>
    </row>
    <row r="746" spans="1:2" x14ac:dyDescent="0.35">
      <c r="A746" s="85">
        <v>44145</v>
      </c>
      <c r="B746">
        <v>0.14680000000000001</v>
      </c>
    </row>
    <row r="747" spans="1:2" x14ac:dyDescent="0.35">
      <c r="A747" s="85">
        <v>44146</v>
      </c>
      <c r="B747">
        <v>0.1449</v>
      </c>
    </row>
    <row r="748" spans="1:2" x14ac:dyDescent="0.35">
      <c r="A748" s="85">
        <v>44147</v>
      </c>
      <c r="B748">
        <v>0.1492</v>
      </c>
    </row>
    <row r="749" spans="1:2" x14ac:dyDescent="0.35">
      <c r="A749" s="85">
        <v>44148</v>
      </c>
      <c r="B749">
        <v>0.14960000000000001</v>
      </c>
    </row>
    <row r="750" spans="1:2" x14ac:dyDescent="0.35">
      <c r="A750" s="85">
        <v>44151</v>
      </c>
      <c r="B750">
        <v>0.1547</v>
      </c>
    </row>
    <row r="751" spans="1:2" x14ac:dyDescent="0.35">
      <c r="A751" s="85">
        <v>44152</v>
      </c>
      <c r="B751">
        <v>0.15310000000000001</v>
      </c>
    </row>
    <row r="752" spans="1:2" x14ac:dyDescent="0.35">
      <c r="A752" s="85">
        <v>44153</v>
      </c>
      <c r="B752">
        <v>0.1545</v>
      </c>
    </row>
    <row r="753" spans="1:2" x14ac:dyDescent="0.35">
      <c r="A753" s="85">
        <v>44154</v>
      </c>
      <c r="B753">
        <v>0.15279999999999999</v>
      </c>
    </row>
    <row r="754" spans="1:2" x14ac:dyDescent="0.35">
      <c r="A754" s="85">
        <v>44155</v>
      </c>
      <c r="B754">
        <v>0.15210000000000001</v>
      </c>
    </row>
    <row r="755" spans="1:2" x14ac:dyDescent="0.35">
      <c r="A755" s="85">
        <v>44158</v>
      </c>
      <c r="B755">
        <v>0.1515</v>
      </c>
    </row>
    <row r="756" spans="1:2" x14ac:dyDescent="0.35">
      <c r="A756" s="85">
        <v>44159</v>
      </c>
      <c r="B756">
        <v>0.15040000000000001</v>
      </c>
    </row>
    <row r="757" spans="1:2" x14ac:dyDescent="0.35">
      <c r="A757" s="85">
        <v>44160</v>
      </c>
      <c r="B757">
        <v>0.1477</v>
      </c>
    </row>
    <row r="758" spans="1:2" x14ac:dyDescent="0.35">
      <c r="A758" s="85">
        <v>44161</v>
      </c>
      <c r="B758">
        <v>0.1477</v>
      </c>
    </row>
    <row r="759" spans="1:2" x14ac:dyDescent="0.35">
      <c r="A759" s="85">
        <v>44162</v>
      </c>
      <c r="B759">
        <v>0.1482</v>
      </c>
    </row>
    <row r="760" spans="1:2" x14ac:dyDescent="0.35">
      <c r="A760" s="85">
        <v>44165</v>
      </c>
      <c r="B760">
        <v>0.14510000000000001</v>
      </c>
    </row>
    <row r="761" spans="1:2" x14ac:dyDescent="0.35">
      <c r="A761" s="85">
        <v>44166</v>
      </c>
      <c r="B761">
        <v>0.14510000000000001</v>
      </c>
    </row>
    <row r="762" spans="1:2" x14ac:dyDescent="0.35">
      <c r="A762" s="85">
        <v>44167</v>
      </c>
      <c r="B762">
        <v>0.14599999999999999</v>
      </c>
    </row>
    <row r="763" spans="1:2" x14ac:dyDescent="0.35">
      <c r="A763" s="85">
        <v>44168</v>
      </c>
      <c r="B763">
        <v>0.14710000000000001</v>
      </c>
    </row>
    <row r="764" spans="1:2" x14ac:dyDescent="0.35">
      <c r="A764" s="85">
        <v>44169</v>
      </c>
      <c r="B764">
        <v>0.1444</v>
      </c>
    </row>
    <row r="765" spans="1:2" x14ac:dyDescent="0.35">
      <c r="A765" s="85">
        <v>44172</v>
      </c>
      <c r="B765">
        <v>0.14449999999999999</v>
      </c>
    </row>
    <row r="766" spans="1:2" x14ac:dyDescent="0.35">
      <c r="A766" s="85">
        <v>44173</v>
      </c>
      <c r="B766">
        <v>0.1439</v>
      </c>
    </row>
    <row r="767" spans="1:2" x14ac:dyDescent="0.35">
      <c r="A767" s="85">
        <v>44174</v>
      </c>
      <c r="B767">
        <v>0.1497</v>
      </c>
    </row>
    <row r="768" spans="1:2" x14ac:dyDescent="0.35">
      <c r="A768" s="85">
        <v>44175</v>
      </c>
      <c r="B768">
        <v>0.14660000000000001</v>
      </c>
    </row>
    <row r="769" spans="1:2" x14ac:dyDescent="0.35">
      <c r="A769" s="85">
        <v>44176</v>
      </c>
      <c r="B769">
        <v>0.14430000000000001</v>
      </c>
    </row>
    <row r="770" spans="1:2" x14ac:dyDescent="0.35">
      <c r="A770" s="85">
        <v>44179</v>
      </c>
      <c r="B770">
        <v>0.14119999999999999</v>
      </c>
    </row>
    <row r="771" spans="1:2" x14ac:dyDescent="0.35">
      <c r="A771" s="85">
        <v>44180</v>
      </c>
      <c r="B771">
        <v>0.1421</v>
      </c>
    </row>
    <row r="772" spans="1:2" x14ac:dyDescent="0.35">
      <c r="A772" s="85">
        <v>44181</v>
      </c>
      <c r="B772">
        <v>0.1449</v>
      </c>
    </row>
    <row r="773" spans="1:2" x14ac:dyDescent="0.35">
      <c r="A773" s="85">
        <v>44182</v>
      </c>
      <c r="B773">
        <v>0.14680000000000001</v>
      </c>
    </row>
    <row r="774" spans="1:2" x14ac:dyDescent="0.35">
      <c r="A774" s="85">
        <v>44183</v>
      </c>
      <c r="B774">
        <v>0.1444</v>
      </c>
    </row>
    <row r="775" spans="1:2" x14ac:dyDescent="0.35">
      <c r="A775" s="85">
        <v>44186</v>
      </c>
      <c r="B775">
        <v>0.14530000000000001</v>
      </c>
    </row>
    <row r="776" spans="1:2" x14ac:dyDescent="0.35">
      <c r="A776" s="85">
        <v>44187</v>
      </c>
      <c r="B776">
        <v>0.1454</v>
      </c>
    </row>
    <row r="777" spans="1:2" x14ac:dyDescent="0.35">
      <c r="A777" s="85">
        <v>44188</v>
      </c>
      <c r="B777">
        <v>0.14829999999999999</v>
      </c>
    </row>
    <row r="778" spans="1:2" x14ac:dyDescent="0.35">
      <c r="A778" s="85">
        <v>44189</v>
      </c>
      <c r="B778">
        <v>0.14899999999999999</v>
      </c>
    </row>
    <row r="779" spans="1:2" x14ac:dyDescent="0.35">
      <c r="A779" s="85">
        <v>44193</v>
      </c>
      <c r="B779">
        <v>0.14979999999999999</v>
      </c>
    </row>
    <row r="780" spans="1:2" x14ac:dyDescent="0.35">
      <c r="A780" s="85">
        <v>44194</v>
      </c>
      <c r="B780">
        <v>0.15040000000000001</v>
      </c>
    </row>
    <row r="781" spans="1:2" x14ac:dyDescent="0.35">
      <c r="A781" s="85">
        <v>44195</v>
      </c>
      <c r="B781">
        <v>0.15279999999999999</v>
      </c>
    </row>
    <row r="782" spans="1:2" x14ac:dyDescent="0.35">
      <c r="A782" s="85">
        <v>44196</v>
      </c>
      <c r="B782">
        <v>0.15490000000000001</v>
      </c>
    </row>
    <row r="783" spans="1:2" x14ac:dyDescent="0.35">
      <c r="A783" s="85">
        <v>44200</v>
      </c>
      <c r="B783">
        <v>0.15759999999999999</v>
      </c>
    </row>
    <row r="784" spans="1:2" x14ac:dyDescent="0.35">
      <c r="A784" s="85">
        <v>44201</v>
      </c>
      <c r="B784">
        <v>0.16120000000000001</v>
      </c>
    </row>
    <row r="785" spans="1:2" x14ac:dyDescent="0.35">
      <c r="A785" s="85">
        <v>44202</v>
      </c>
      <c r="B785">
        <v>0.16250000000000001</v>
      </c>
    </row>
    <row r="786" spans="1:2" x14ac:dyDescent="0.35">
      <c r="A786" s="85">
        <v>44203</v>
      </c>
      <c r="B786">
        <v>0.156</v>
      </c>
    </row>
    <row r="787" spans="1:2" x14ac:dyDescent="0.35">
      <c r="A787" s="85">
        <v>44204</v>
      </c>
      <c r="B787">
        <v>0.156</v>
      </c>
    </row>
    <row r="788" spans="1:2" x14ac:dyDescent="0.35">
      <c r="A788" s="85">
        <v>44207</v>
      </c>
      <c r="B788">
        <v>0.15670000000000001</v>
      </c>
    </row>
    <row r="789" spans="1:2" x14ac:dyDescent="0.35">
      <c r="A789" s="85">
        <v>44208</v>
      </c>
      <c r="B789">
        <v>0.15459999999999999</v>
      </c>
    </row>
    <row r="790" spans="1:2" x14ac:dyDescent="0.35">
      <c r="A790" s="85">
        <v>44209</v>
      </c>
      <c r="B790">
        <v>0.15840000000000001</v>
      </c>
    </row>
    <row r="791" spans="1:2" x14ac:dyDescent="0.35">
      <c r="A791" s="85">
        <v>44210</v>
      </c>
      <c r="B791">
        <v>0.16669999999999999</v>
      </c>
    </row>
    <row r="792" spans="1:2" x14ac:dyDescent="0.35">
      <c r="A792" s="85">
        <v>44211</v>
      </c>
      <c r="B792">
        <v>0.16450000000000001</v>
      </c>
    </row>
    <row r="793" spans="1:2" x14ac:dyDescent="0.35">
      <c r="A793" s="85">
        <v>44214</v>
      </c>
      <c r="B793">
        <v>0.16450000000000001</v>
      </c>
    </row>
    <row r="794" spans="1:2" x14ac:dyDescent="0.35">
      <c r="A794" s="85">
        <v>44215</v>
      </c>
      <c r="B794">
        <v>0.161</v>
      </c>
    </row>
    <row r="795" spans="1:2" x14ac:dyDescent="0.35">
      <c r="A795" s="85">
        <v>44216</v>
      </c>
      <c r="B795">
        <v>0.16270000000000001</v>
      </c>
    </row>
    <row r="796" spans="1:2" x14ac:dyDescent="0.35">
      <c r="A796" s="85">
        <v>44217</v>
      </c>
      <c r="B796">
        <v>0.1605</v>
      </c>
    </row>
    <row r="797" spans="1:2" x14ac:dyDescent="0.35">
      <c r="A797" s="85">
        <v>44218</v>
      </c>
      <c r="B797">
        <v>0.15870000000000001</v>
      </c>
    </row>
    <row r="798" spans="1:2" x14ac:dyDescent="0.35">
      <c r="A798" s="85">
        <v>44221</v>
      </c>
      <c r="B798">
        <v>0.15740000000000001</v>
      </c>
    </row>
    <row r="799" spans="1:2" x14ac:dyDescent="0.35">
      <c r="A799" s="85">
        <v>44222</v>
      </c>
      <c r="B799">
        <v>0.15740000000000001</v>
      </c>
    </row>
    <row r="800" spans="1:2" x14ac:dyDescent="0.35">
      <c r="A800" s="85">
        <v>44223</v>
      </c>
      <c r="B800">
        <v>0.158</v>
      </c>
    </row>
    <row r="801" spans="1:2" x14ac:dyDescent="0.35">
      <c r="A801" s="85">
        <v>44224</v>
      </c>
      <c r="B801">
        <v>0.15590000000000001</v>
      </c>
    </row>
    <row r="802" spans="1:2" x14ac:dyDescent="0.35">
      <c r="A802" s="85">
        <v>44225</v>
      </c>
      <c r="B802">
        <v>0.1583</v>
      </c>
    </row>
    <row r="803" spans="1:2" x14ac:dyDescent="0.35">
      <c r="A803" s="85">
        <v>44228</v>
      </c>
      <c r="B803">
        <v>0.1615</v>
      </c>
    </row>
    <row r="804" spans="1:2" x14ac:dyDescent="0.35">
      <c r="A804" s="85">
        <v>44229</v>
      </c>
      <c r="B804">
        <v>0.16289999999999999</v>
      </c>
    </row>
    <row r="805" spans="1:2" x14ac:dyDescent="0.35">
      <c r="A805" s="85">
        <v>44230</v>
      </c>
      <c r="B805">
        <v>0.16039999999999999</v>
      </c>
    </row>
    <row r="806" spans="1:2" x14ac:dyDescent="0.35">
      <c r="A806" s="85">
        <v>44231</v>
      </c>
      <c r="B806">
        <v>0.1605</v>
      </c>
    </row>
    <row r="807" spans="1:2" x14ac:dyDescent="0.35">
      <c r="A807" s="85">
        <v>44232</v>
      </c>
      <c r="B807">
        <v>0.16420000000000001</v>
      </c>
    </row>
    <row r="808" spans="1:2" x14ac:dyDescent="0.35">
      <c r="A808" s="85">
        <v>44235</v>
      </c>
      <c r="B808">
        <v>0.16270000000000001</v>
      </c>
    </row>
    <row r="809" spans="1:2" x14ac:dyDescent="0.35">
      <c r="A809" s="85">
        <v>44236</v>
      </c>
      <c r="B809">
        <v>0.16439999999999999</v>
      </c>
    </row>
    <row r="810" spans="1:2" x14ac:dyDescent="0.35">
      <c r="A810" s="85">
        <v>44237</v>
      </c>
      <c r="B810">
        <v>0.1671</v>
      </c>
    </row>
    <row r="811" spans="1:2" x14ac:dyDescent="0.35">
      <c r="A811" s="85">
        <v>44238</v>
      </c>
      <c r="B811">
        <v>0.16550000000000001</v>
      </c>
    </row>
    <row r="812" spans="1:2" x14ac:dyDescent="0.35">
      <c r="A812" s="85">
        <v>44239</v>
      </c>
      <c r="B812">
        <v>0.1638</v>
      </c>
    </row>
    <row r="813" spans="1:2" x14ac:dyDescent="0.35">
      <c r="A813" s="85">
        <v>44242</v>
      </c>
      <c r="B813">
        <v>0.1638</v>
      </c>
    </row>
    <row r="814" spans="1:2" x14ac:dyDescent="0.35">
      <c r="A814" s="85">
        <v>44243</v>
      </c>
      <c r="B814">
        <v>0.1673</v>
      </c>
    </row>
    <row r="815" spans="1:2" x14ac:dyDescent="0.35">
      <c r="A815" s="85">
        <v>44244</v>
      </c>
      <c r="B815">
        <v>0.1696</v>
      </c>
    </row>
    <row r="816" spans="1:2" x14ac:dyDescent="0.35">
      <c r="A816" s="85">
        <v>44245</v>
      </c>
      <c r="B816">
        <v>0.17510000000000001</v>
      </c>
    </row>
    <row r="817" spans="1:2" x14ac:dyDescent="0.35">
      <c r="A817" s="85">
        <v>44246</v>
      </c>
      <c r="B817">
        <v>0.1779</v>
      </c>
    </row>
    <row r="818" spans="1:2" x14ac:dyDescent="0.35">
      <c r="A818" s="85">
        <v>44249</v>
      </c>
      <c r="B818">
        <v>0.18779999999999999</v>
      </c>
    </row>
    <row r="819" spans="1:2" x14ac:dyDescent="0.35">
      <c r="A819" s="85">
        <v>44250</v>
      </c>
      <c r="B819">
        <v>0.18129999999999999</v>
      </c>
    </row>
    <row r="820" spans="1:2" x14ac:dyDescent="0.35">
      <c r="A820" s="85">
        <v>44251</v>
      </c>
      <c r="B820">
        <v>0.17760000000000001</v>
      </c>
    </row>
    <row r="821" spans="1:2" x14ac:dyDescent="0.35">
      <c r="A821" s="85">
        <v>44252</v>
      </c>
      <c r="B821">
        <v>0.1724</v>
      </c>
    </row>
    <row r="822" spans="1:2" x14ac:dyDescent="0.35">
      <c r="A822" s="85">
        <v>44253</v>
      </c>
      <c r="B822">
        <v>0.16669999999999999</v>
      </c>
    </row>
    <row r="823" spans="1:2" x14ac:dyDescent="0.35">
      <c r="A823" s="85">
        <v>44256</v>
      </c>
      <c r="B823">
        <v>0.16209999999999999</v>
      </c>
    </row>
    <row r="824" spans="1:2" x14ac:dyDescent="0.35">
      <c r="A824" s="85">
        <v>44257</v>
      </c>
      <c r="B824">
        <v>0.1643</v>
      </c>
    </row>
    <row r="825" spans="1:2" x14ac:dyDescent="0.35">
      <c r="A825" s="85">
        <v>44258</v>
      </c>
      <c r="B825">
        <v>0.16139999999999999</v>
      </c>
    </row>
    <row r="826" spans="1:2" x14ac:dyDescent="0.35">
      <c r="A826" s="85">
        <v>44259</v>
      </c>
      <c r="B826">
        <v>0.16259999999999999</v>
      </c>
    </row>
    <row r="827" spans="1:2" x14ac:dyDescent="0.35">
      <c r="A827" s="85">
        <v>44260</v>
      </c>
      <c r="B827">
        <v>0.16400000000000001</v>
      </c>
    </row>
    <row r="828" spans="1:2" x14ac:dyDescent="0.35">
      <c r="A828" s="85">
        <v>44263</v>
      </c>
      <c r="B828">
        <v>0.16200000000000001</v>
      </c>
    </row>
    <row r="829" spans="1:2" x14ac:dyDescent="0.35">
      <c r="A829" s="85">
        <v>44264</v>
      </c>
      <c r="B829">
        <v>0.159</v>
      </c>
    </row>
    <row r="830" spans="1:2" x14ac:dyDescent="0.35">
      <c r="A830" s="85">
        <v>44265</v>
      </c>
      <c r="B830">
        <v>0.15959999999999999</v>
      </c>
    </row>
    <row r="831" spans="1:2" x14ac:dyDescent="0.35">
      <c r="A831" s="85">
        <v>44266</v>
      </c>
      <c r="B831">
        <v>0.1636</v>
      </c>
    </row>
    <row r="832" spans="1:2" x14ac:dyDescent="0.35">
      <c r="A832" s="85">
        <v>44267</v>
      </c>
      <c r="B832">
        <v>0.1613</v>
      </c>
    </row>
    <row r="833" spans="1:2" x14ac:dyDescent="0.35">
      <c r="A833" s="85">
        <v>44270</v>
      </c>
      <c r="B833">
        <v>0.16120000000000001</v>
      </c>
    </row>
    <row r="834" spans="1:2" x14ac:dyDescent="0.35">
      <c r="A834" s="85">
        <v>44271</v>
      </c>
      <c r="B834">
        <v>0.16300000000000001</v>
      </c>
    </row>
    <row r="835" spans="1:2" x14ac:dyDescent="0.35">
      <c r="A835" s="85">
        <v>44272</v>
      </c>
      <c r="B835">
        <v>0.15989999999999999</v>
      </c>
    </row>
    <row r="836" spans="1:2" x14ac:dyDescent="0.35">
      <c r="A836" s="85">
        <v>44273</v>
      </c>
      <c r="B836">
        <v>0.15890000000000001</v>
      </c>
    </row>
    <row r="837" spans="1:2" x14ac:dyDescent="0.35">
      <c r="A837" s="85">
        <v>44274</v>
      </c>
      <c r="B837">
        <v>0.15759999999999999</v>
      </c>
    </row>
    <row r="838" spans="1:2" x14ac:dyDescent="0.35">
      <c r="A838" s="85">
        <v>44277</v>
      </c>
      <c r="B838">
        <v>0.15529999999999999</v>
      </c>
    </row>
    <row r="839" spans="1:2" x14ac:dyDescent="0.35">
      <c r="A839" s="85">
        <v>44278</v>
      </c>
      <c r="B839">
        <v>0.15429999999999999</v>
      </c>
    </row>
    <row r="840" spans="1:2" x14ac:dyDescent="0.35">
      <c r="A840" s="85">
        <v>44279</v>
      </c>
      <c r="B840">
        <v>0.15629999999999999</v>
      </c>
    </row>
    <row r="841" spans="1:2" x14ac:dyDescent="0.35">
      <c r="A841" s="85">
        <v>44280</v>
      </c>
      <c r="B841">
        <v>0.15090000000000001</v>
      </c>
    </row>
    <row r="842" spans="1:2" x14ac:dyDescent="0.35">
      <c r="A842" s="85">
        <v>44281</v>
      </c>
      <c r="B842">
        <v>0.15190000000000001</v>
      </c>
    </row>
    <row r="843" spans="1:2" x14ac:dyDescent="0.35">
      <c r="A843" s="85">
        <v>44284</v>
      </c>
      <c r="B843">
        <v>0.1492</v>
      </c>
    </row>
    <row r="844" spans="1:2" x14ac:dyDescent="0.35">
      <c r="A844" s="85">
        <v>44285</v>
      </c>
      <c r="B844">
        <v>0.1492</v>
      </c>
    </row>
    <row r="845" spans="1:2" x14ac:dyDescent="0.35">
      <c r="A845" s="85">
        <v>44286</v>
      </c>
      <c r="B845">
        <v>0.1477</v>
      </c>
    </row>
    <row r="846" spans="1:2" x14ac:dyDescent="0.35">
      <c r="A846" s="85">
        <v>44287</v>
      </c>
      <c r="B846">
        <v>0.14710000000000001</v>
      </c>
    </row>
    <row r="847" spans="1:2" x14ac:dyDescent="0.35">
      <c r="A847" s="85">
        <v>44291</v>
      </c>
      <c r="B847">
        <v>0.1484</v>
      </c>
    </row>
    <row r="848" spans="1:2" x14ac:dyDescent="0.35">
      <c r="A848" s="85">
        <v>44292</v>
      </c>
      <c r="B848">
        <v>0.15160000000000001</v>
      </c>
    </row>
    <row r="849" spans="1:2" x14ac:dyDescent="0.35">
      <c r="A849" s="85">
        <v>44293</v>
      </c>
      <c r="B849">
        <v>0.15140000000000001</v>
      </c>
    </row>
    <row r="850" spans="1:2" x14ac:dyDescent="0.35">
      <c r="A850" s="85">
        <v>44294</v>
      </c>
      <c r="B850">
        <v>0.15179999999999999</v>
      </c>
    </row>
    <row r="851" spans="1:2" x14ac:dyDescent="0.35">
      <c r="A851" s="85">
        <v>44295</v>
      </c>
      <c r="B851">
        <v>0.15459999999999999</v>
      </c>
    </row>
    <row r="852" spans="1:2" x14ac:dyDescent="0.35">
      <c r="A852" s="85">
        <v>44298</v>
      </c>
      <c r="B852">
        <v>0.1535</v>
      </c>
    </row>
    <row r="853" spans="1:2" x14ac:dyDescent="0.35">
      <c r="A853" s="85">
        <v>44299</v>
      </c>
      <c r="B853">
        <v>0.15429999999999999</v>
      </c>
    </row>
    <row r="854" spans="1:2" x14ac:dyDescent="0.35">
      <c r="A854" s="85">
        <v>44300</v>
      </c>
      <c r="B854">
        <v>0.15859999999999999</v>
      </c>
    </row>
    <row r="855" spans="1:2" x14ac:dyDescent="0.35">
      <c r="A855" s="85">
        <v>44301</v>
      </c>
      <c r="B855">
        <v>0.1638</v>
      </c>
    </row>
    <row r="856" spans="1:2" x14ac:dyDescent="0.35">
      <c r="A856" s="85">
        <v>44302</v>
      </c>
      <c r="B856">
        <v>0.16719999999999999</v>
      </c>
    </row>
    <row r="857" spans="1:2" x14ac:dyDescent="0.35">
      <c r="A857" s="85">
        <v>44305</v>
      </c>
      <c r="B857">
        <v>0.16289999999999999</v>
      </c>
    </row>
    <row r="858" spans="1:2" x14ac:dyDescent="0.35">
      <c r="A858" s="85">
        <v>44306</v>
      </c>
      <c r="B858">
        <v>0.16769999999999999</v>
      </c>
    </row>
    <row r="859" spans="1:2" x14ac:dyDescent="0.35">
      <c r="A859" s="85">
        <v>44307</v>
      </c>
      <c r="B859">
        <v>0.1694</v>
      </c>
    </row>
    <row r="860" spans="1:2" x14ac:dyDescent="0.35">
      <c r="A860" s="85">
        <v>44308</v>
      </c>
      <c r="B860">
        <v>0.16919999999999999</v>
      </c>
    </row>
    <row r="861" spans="1:2" x14ac:dyDescent="0.35">
      <c r="A861" s="85">
        <v>44309</v>
      </c>
      <c r="B861">
        <v>0.1691</v>
      </c>
    </row>
    <row r="862" spans="1:2" x14ac:dyDescent="0.35">
      <c r="A862" s="85">
        <v>44312</v>
      </c>
      <c r="B862">
        <v>0.17169999999999999</v>
      </c>
    </row>
    <row r="863" spans="1:2" x14ac:dyDescent="0.35">
      <c r="A863" s="85">
        <v>44313</v>
      </c>
      <c r="B863">
        <v>0.17899999999999999</v>
      </c>
    </row>
    <row r="864" spans="1:2" x14ac:dyDescent="0.35">
      <c r="A864" s="85">
        <v>44314</v>
      </c>
      <c r="B864">
        <v>0.1724</v>
      </c>
    </row>
    <row r="865" spans="1:2" x14ac:dyDescent="0.35">
      <c r="A865" s="85">
        <v>44315</v>
      </c>
      <c r="B865">
        <v>0.1699</v>
      </c>
    </row>
    <row r="866" spans="1:2" x14ac:dyDescent="0.35">
      <c r="A866" s="85">
        <v>44316</v>
      </c>
      <c r="B866">
        <v>0.17069999999999999</v>
      </c>
    </row>
    <row r="867" spans="1:2" x14ac:dyDescent="0.35">
      <c r="A867" s="85">
        <v>44319</v>
      </c>
      <c r="B867">
        <v>0.1673</v>
      </c>
    </row>
    <row r="868" spans="1:2" x14ac:dyDescent="0.35">
      <c r="A868" s="85">
        <v>44320</v>
      </c>
      <c r="B868">
        <v>0.17119999999999999</v>
      </c>
    </row>
    <row r="869" spans="1:2" x14ac:dyDescent="0.35">
      <c r="A869" s="85">
        <v>44321</v>
      </c>
      <c r="B869">
        <v>0.17530000000000001</v>
      </c>
    </row>
    <row r="870" spans="1:2" x14ac:dyDescent="0.35">
      <c r="A870" s="85">
        <v>44322</v>
      </c>
      <c r="B870">
        <v>0.17549999999999999</v>
      </c>
    </row>
    <row r="871" spans="1:2" x14ac:dyDescent="0.35">
      <c r="A871" s="85">
        <v>44323</v>
      </c>
      <c r="B871">
        <v>0.1749</v>
      </c>
    </row>
    <row r="872" spans="1:2" x14ac:dyDescent="0.35">
      <c r="A872" s="85">
        <v>44326</v>
      </c>
      <c r="B872">
        <v>0.1749</v>
      </c>
    </row>
    <row r="873" spans="1:2" x14ac:dyDescent="0.35">
      <c r="A873" s="85">
        <v>44327</v>
      </c>
      <c r="B873">
        <v>0.18099999999999999</v>
      </c>
    </row>
    <row r="874" spans="1:2" x14ac:dyDescent="0.35">
      <c r="A874" s="85">
        <v>44328</v>
      </c>
      <c r="B874">
        <v>0.1784</v>
      </c>
    </row>
    <row r="875" spans="1:2" x14ac:dyDescent="0.35">
      <c r="A875" s="85">
        <v>44329</v>
      </c>
      <c r="B875">
        <v>0.1711</v>
      </c>
    </row>
    <row r="876" spans="1:2" x14ac:dyDescent="0.35">
      <c r="A876" s="85">
        <v>44330</v>
      </c>
      <c r="B876">
        <v>0.1696</v>
      </c>
    </row>
    <row r="877" spans="1:2" x14ac:dyDescent="0.35">
      <c r="A877" s="85">
        <v>44333</v>
      </c>
      <c r="B877">
        <v>0.1699</v>
      </c>
    </row>
    <row r="878" spans="1:2" x14ac:dyDescent="0.35">
      <c r="A878" s="85">
        <v>44334</v>
      </c>
      <c r="B878">
        <v>0.1721</v>
      </c>
    </row>
    <row r="879" spans="1:2" x14ac:dyDescent="0.35">
      <c r="A879" s="85">
        <v>44335</v>
      </c>
      <c r="B879">
        <v>0.16950000000000001</v>
      </c>
    </row>
    <row r="880" spans="1:2" x14ac:dyDescent="0.35">
      <c r="A880" s="85">
        <v>44336</v>
      </c>
      <c r="B880">
        <v>0.1704</v>
      </c>
    </row>
    <row r="881" spans="1:2" x14ac:dyDescent="0.35">
      <c r="A881" s="85">
        <v>44337</v>
      </c>
      <c r="B881">
        <v>0.16669999999999999</v>
      </c>
    </row>
    <row r="882" spans="1:2" x14ac:dyDescent="0.35">
      <c r="A882" s="85">
        <v>44340</v>
      </c>
      <c r="B882">
        <v>0.16830000000000001</v>
      </c>
    </row>
    <row r="883" spans="1:2" x14ac:dyDescent="0.35">
      <c r="A883" s="85">
        <v>44341</v>
      </c>
      <c r="B883">
        <v>0.1704</v>
      </c>
    </row>
    <row r="884" spans="1:2" x14ac:dyDescent="0.35">
      <c r="A884" s="85">
        <v>44342</v>
      </c>
      <c r="B884">
        <v>0.1678</v>
      </c>
    </row>
    <row r="885" spans="1:2" x14ac:dyDescent="0.35">
      <c r="A885" s="85">
        <v>44343</v>
      </c>
      <c r="B885">
        <v>0.17119999999999999</v>
      </c>
    </row>
    <row r="886" spans="1:2" x14ac:dyDescent="0.35">
      <c r="A886" s="85">
        <v>44344</v>
      </c>
      <c r="B886">
        <v>0.1736</v>
      </c>
    </row>
    <row r="887" spans="1:2" x14ac:dyDescent="0.35">
      <c r="A887" s="85">
        <v>44347</v>
      </c>
      <c r="B887">
        <v>0.1736</v>
      </c>
    </row>
    <row r="888" spans="1:2" x14ac:dyDescent="0.35">
      <c r="A888" s="85">
        <v>44348</v>
      </c>
      <c r="B888">
        <v>0.1769</v>
      </c>
    </row>
    <row r="889" spans="1:2" x14ac:dyDescent="0.35">
      <c r="A889" s="85">
        <v>44349</v>
      </c>
      <c r="B889">
        <v>0.17680000000000001</v>
      </c>
    </row>
    <row r="890" spans="1:2" x14ac:dyDescent="0.35">
      <c r="A890" s="85">
        <v>44350</v>
      </c>
      <c r="B890">
        <v>0.17430000000000001</v>
      </c>
    </row>
    <row r="891" spans="1:2" x14ac:dyDescent="0.35">
      <c r="A891" s="85">
        <v>44351</v>
      </c>
      <c r="B891">
        <v>0.17710000000000001</v>
      </c>
    </row>
    <row r="892" spans="1:2" x14ac:dyDescent="0.35">
      <c r="A892" s="85">
        <v>44354</v>
      </c>
      <c r="B892">
        <v>0.17380000000000001</v>
      </c>
    </row>
    <row r="893" spans="1:2" x14ac:dyDescent="0.35">
      <c r="A893" s="85">
        <v>44355</v>
      </c>
      <c r="B893">
        <v>0.17710000000000001</v>
      </c>
    </row>
    <row r="894" spans="1:2" x14ac:dyDescent="0.35">
      <c r="A894" s="85">
        <v>44356</v>
      </c>
      <c r="B894">
        <v>0.17730000000000001</v>
      </c>
    </row>
    <row r="895" spans="1:2" x14ac:dyDescent="0.35">
      <c r="A895" s="85">
        <v>44357</v>
      </c>
      <c r="B895">
        <v>0.17660000000000001</v>
      </c>
    </row>
    <row r="896" spans="1:2" x14ac:dyDescent="0.35">
      <c r="A896" s="85">
        <v>44358</v>
      </c>
      <c r="B896">
        <v>0.1754</v>
      </c>
    </row>
    <row r="897" spans="1:2" x14ac:dyDescent="0.35">
      <c r="A897" s="85">
        <v>44361</v>
      </c>
      <c r="B897">
        <v>0.1729</v>
      </c>
    </row>
    <row r="898" spans="1:2" x14ac:dyDescent="0.35">
      <c r="A898" s="85">
        <v>44362</v>
      </c>
      <c r="B898">
        <v>0.17050000000000001</v>
      </c>
    </row>
    <row r="899" spans="1:2" x14ac:dyDescent="0.35">
      <c r="A899" s="85">
        <v>44363</v>
      </c>
      <c r="B899">
        <v>0.1704</v>
      </c>
    </row>
    <row r="900" spans="1:2" x14ac:dyDescent="0.35">
      <c r="A900" s="85">
        <v>44364</v>
      </c>
      <c r="B900">
        <v>0.16550000000000001</v>
      </c>
    </row>
    <row r="901" spans="1:2" x14ac:dyDescent="0.35">
      <c r="A901" s="85">
        <v>44365</v>
      </c>
      <c r="B901">
        <v>0.1643</v>
      </c>
    </row>
    <row r="902" spans="1:2" x14ac:dyDescent="0.35">
      <c r="A902" s="85">
        <v>44368</v>
      </c>
      <c r="B902">
        <v>0.1678</v>
      </c>
    </row>
    <row r="903" spans="1:2" x14ac:dyDescent="0.35">
      <c r="A903" s="85">
        <v>44369</v>
      </c>
      <c r="B903">
        <v>0.1643</v>
      </c>
    </row>
    <row r="904" spans="1:2" x14ac:dyDescent="0.35">
      <c r="A904" s="85">
        <v>44370</v>
      </c>
      <c r="B904">
        <v>0.16689999999999999</v>
      </c>
    </row>
    <row r="905" spans="1:2" x14ac:dyDescent="0.35">
      <c r="A905" s="85">
        <v>44371</v>
      </c>
      <c r="B905">
        <v>0.16930000000000001</v>
      </c>
    </row>
    <row r="906" spans="1:2" x14ac:dyDescent="0.35">
      <c r="A906" s="85">
        <v>44372</v>
      </c>
      <c r="B906">
        <v>0.16980000000000001</v>
      </c>
    </row>
    <row r="907" spans="1:2" x14ac:dyDescent="0.35">
      <c r="A907" s="85">
        <v>44375</v>
      </c>
      <c r="B907">
        <v>0.17380000000000001</v>
      </c>
    </row>
    <row r="908" spans="1:2" x14ac:dyDescent="0.35">
      <c r="A908" s="85">
        <v>44376</v>
      </c>
      <c r="B908">
        <v>0.17419999999999999</v>
      </c>
    </row>
    <row r="909" spans="1:2" x14ac:dyDescent="0.35">
      <c r="A909" s="85">
        <v>44377</v>
      </c>
      <c r="B909">
        <v>0.1784</v>
      </c>
    </row>
    <row r="910" spans="1:2" x14ac:dyDescent="0.35">
      <c r="A910" s="85">
        <v>44378</v>
      </c>
      <c r="B910">
        <v>0.1794</v>
      </c>
    </row>
    <row r="911" spans="1:2" x14ac:dyDescent="0.35">
      <c r="A911" s="85">
        <v>44379</v>
      </c>
      <c r="B911">
        <v>0.18149999999999999</v>
      </c>
    </row>
    <row r="912" spans="1:2" x14ac:dyDescent="0.35">
      <c r="A912" s="85">
        <v>44382</v>
      </c>
      <c r="B912">
        <v>0.18149999999999999</v>
      </c>
    </row>
    <row r="913" spans="1:2" x14ac:dyDescent="0.35">
      <c r="A913" s="85">
        <v>44383</v>
      </c>
      <c r="B913">
        <v>0.1787</v>
      </c>
    </row>
    <row r="914" spans="1:2" x14ac:dyDescent="0.35">
      <c r="A914" s="85">
        <v>44384</v>
      </c>
      <c r="B914">
        <v>0.17749999999999999</v>
      </c>
    </row>
    <row r="915" spans="1:2" x14ac:dyDescent="0.35">
      <c r="A915" s="85">
        <v>44385</v>
      </c>
      <c r="B915">
        <v>0.17449999999999999</v>
      </c>
    </row>
    <row r="916" spans="1:2" x14ac:dyDescent="0.35">
      <c r="A916" s="85">
        <v>44386</v>
      </c>
      <c r="B916">
        <v>0.17280000000000001</v>
      </c>
    </row>
    <row r="917" spans="1:2" x14ac:dyDescent="0.35">
      <c r="A917" s="85">
        <v>44389</v>
      </c>
      <c r="B917">
        <v>0.1699</v>
      </c>
    </row>
    <row r="918" spans="1:2" x14ac:dyDescent="0.35">
      <c r="A918" s="85">
        <v>44390</v>
      </c>
      <c r="B918">
        <v>0.17080000000000001</v>
      </c>
    </row>
    <row r="919" spans="1:2" x14ac:dyDescent="0.35">
      <c r="A919" s="85">
        <v>44391</v>
      </c>
      <c r="B919">
        <v>0.16930000000000001</v>
      </c>
    </row>
    <row r="920" spans="1:2" x14ac:dyDescent="0.35">
      <c r="A920" s="85">
        <v>44392</v>
      </c>
      <c r="B920">
        <v>0.17330000000000001</v>
      </c>
    </row>
    <row r="921" spans="1:2" x14ac:dyDescent="0.35">
      <c r="A921" s="85">
        <v>44393</v>
      </c>
      <c r="B921">
        <v>0.17710000000000001</v>
      </c>
    </row>
    <row r="922" spans="1:2" x14ac:dyDescent="0.35">
      <c r="A922" s="85">
        <v>44396</v>
      </c>
      <c r="B922">
        <v>0.17069999999999999</v>
      </c>
    </row>
    <row r="923" spans="1:2" x14ac:dyDescent="0.35">
      <c r="A923" s="85">
        <v>44397</v>
      </c>
      <c r="B923">
        <v>0.1741</v>
      </c>
    </row>
    <row r="924" spans="1:2" x14ac:dyDescent="0.35">
      <c r="A924" s="85">
        <v>44398</v>
      </c>
      <c r="B924">
        <v>0.1767</v>
      </c>
    </row>
    <row r="925" spans="1:2" x14ac:dyDescent="0.35">
      <c r="A925" s="85">
        <v>44399</v>
      </c>
      <c r="B925">
        <v>0.1762</v>
      </c>
    </row>
    <row r="926" spans="1:2" x14ac:dyDescent="0.35">
      <c r="A926" s="85">
        <v>44400</v>
      </c>
      <c r="B926">
        <v>0.1817</v>
      </c>
    </row>
    <row r="927" spans="1:2" x14ac:dyDescent="0.35">
      <c r="A927" s="85">
        <v>44403</v>
      </c>
      <c r="B927">
        <v>0.1842</v>
      </c>
    </row>
    <row r="928" spans="1:2" x14ac:dyDescent="0.35">
      <c r="A928" s="85">
        <v>44404</v>
      </c>
      <c r="B928">
        <v>0.1835</v>
      </c>
    </row>
    <row r="929" spans="1:2" x14ac:dyDescent="0.35">
      <c r="A929" s="85">
        <v>44405</v>
      </c>
      <c r="B929">
        <v>0.18609999999999999</v>
      </c>
    </row>
    <row r="930" spans="1:2" x14ac:dyDescent="0.35">
      <c r="A930" s="85">
        <v>44406</v>
      </c>
      <c r="B930">
        <v>0.183</v>
      </c>
    </row>
    <row r="931" spans="1:2" x14ac:dyDescent="0.35">
      <c r="A931" s="85">
        <v>44407</v>
      </c>
      <c r="B931">
        <v>0.17910000000000001</v>
      </c>
    </row>
    <row r="932" spans="1:2" x14ac:dyDescent="0.35">
      <c r="A932" s="85">
        <v>44410</v>
      </c>
      <c r="B932">
        <v>0.17949999999999999</v>
      </c>
    </row>
    <row r="933" spans="1:2" x14ac:dyDescent="0.35">
      <c r="A933" s="85">
        <v>44411</v>
      </c>
      <c r="B933">
        <v>0.17979999999999999</v>
      </c>
    </row>
    <row r="934" spans="1:2" x14ac:dyDescent="0.35">
      <c r="A934" s="85">
        <v>44412</v>
      </c>
      <c r="B934">
        <v>0.17929999999999999</v>
      </c>
    </row>
    <row r="935" spans="1:2" x14ac:dyDescent="0.35">
      <c r="A935" s="85">
        <v>44413</v>
      </c>
      <c r="B935">
        <v>0.1862</v>
      </c>
    </row>
    <row r="936" spans="1:2" x14ac:dyDescent="0.35">
      <c r="A936" s="85">
        <v>44414</v>
      </c>
      <c r="B936">
        <v>0.18679999999999999</v>
      </c>
    </row>
    <row r="937" spans="1:2" x14ac:dyDescent="0.35">
      <c r="A937" s="85">
        <v>44417</v>
      </c>
      <c r="B937">
        <v>0.1847</v>
      </c>
    </row>
    <row r="938" spans="1:2" x14ac:dyDescent="0.35">
      <c r="A938" s="85">
        <v>44418</v>
      </c>
      <c r="B938">
        <v>0.19589999999999999</v>
      </c>
    </row>
    <row r="939" spans="1:2" x14ac:dyDescent="0.35">
      <c r="A939" s="85">
        <v>44419</v>
      </c>
      <c r="B939">
        <v>0.19470000000000001</v>
      </c>
    </row>
    <row r="940" spans="1:2" x14ac:dyDescent="0.35">
      <c r="A940" s="85">
        <v>44420</v>
      </c>
      <c r="B940">
        <v>0.19539999999999999</v>
      </c>
    </row>
    <row r="941" spans="1:2" x14ac:dyDescent="0.35">
      <c r="A941" s="85">
        <v>44421</v>
      </c>
      <c r="B941">
        <v>0.19950000000000001</v>
      </c>
    </row>
    <row r="942" spans="1:2" x14ac:dyDescent="0.35">
      <c r="A942" s="85">
        <v>44424</v>
      </c>
      <c r="B942">
        <v>0.20030000000000001</v>
      </c>
    </row>
    <row r="943" spans="1:2" x14ac:dyDescent="0.35">
      <c r="A943" s="85">
        <v>44425</v>
      </c>
      <c r="B943">
        <v>0.20019999999999999</v>
      </c>
    </row>
    <row r="944" spans="1:2" x14ac:dyDescent="0.35">
      <c r="A944" s="85">
        <v>44426</v>
      </c>
      <c r="B944">
        <v>0.20169999999999999</v>
      </c>
    </row>
    <row r="945" spans="1:2" x14ac:dyDescent="0.35">
      <c r="A945" s="85">
        <v>44427</v>
      </c>
      <c r="B945">
        <v>0.19789999999999999</v>
      </c>
    </row>
    <row r="946" spans="1:2" x14ac:dyDescent="0.35">
      <c r="A946" s="85">
        <v>44428</v>
      </c>
      <c r="B946">
        <v>0.1958</v>
      </c>
    </row>
    <row r="947" spans="1:2" x14ac:dyDescent="0.35">
      <c r="A947" s="85">
        <v>44431</v>
      </c>
      <c r="B947">
        <v>0.1958</v>
      </c>
    </row>
    <row r="948" spans="1:2" x14ac:dyDescent="0.35">
      <c r="A948" s="85">
        <v>44432</v>
      </c>
      <c r="B948">
        <v>0.1958</v>
      </c>
    </row>
    <row r="949" spans="1:2" x14ac:dyDescent="0.35">
      <c r="A949" s="85">
        <v>44433</v>
      </c>
      <c r="B949">
        <v>0.1973</v>
      </c>
    </row>
    <row r="950" spans="1:2" x14ac:dyDescent="0.35">
      <c r="A950" s="85">
        <v>44434</v>
      </c>
      <c r="B950">
        <v>0.1968</v>
      </c>
    </row>
    <row r="951" spans="1:2" x14ac:dyDescent="0.35">
      <c r="A951" s="85">
        <v>44435</v>
      </c>
      <c r="B951">
        <v>0.20039999999999999</v>
      </c>
    </row>
    <row r="952" spans="1:2" x14ac:dyDescent="0.35">
      <c r="A952" s="85">
        <v>44438</v>
      </c>
      <c r="B952">
        <v>0.20219999999999999</v>
      </c>
    </row>
    <row r="953" spans="1:2" x14ac:dyDescent="0.35">
      <c r="A953" s="85">
        <v>44439</v>
      </c>
      <c r="B953">
        <v>0.19839999999999999</v>
      </c>
    </row>
    <row r="954" spans="1:2" x14ac:dyDescent="0.35">
      <c r="A954" s="85">
        <v>44440</v>
      </c>
      <c r="B954">
        <v>0.19670000000000001</v>
      </c>
    </row>
    <row r="955" spans="1:2" x14ac:dyDescent="0.35">
      <c r="A955" s="85">
        <v>44441</v>
      </c>
      <c r="B955">
        <v>0.19900000000000001</v>
      </c>
    </row>
    <row r="956" spans="1:2" x14ac:dyDescent="0.35">
      <c r="A956" s="85">
        <v>44442</v>
      </c>
      <c r="B956">
        <v>0.19620000000000001</v>
      </c>
    </row>
    <row r="957" spans="1:2" x14ac:dyDescent="0.35">
      <c r="A957" s="85">
        <v>44445</v>
      </c>
      <c r="B957">
        <v>0.19620000000000001</v>
      </c>
    </row>
    <row r="958" spans="1:2" x14ac:dyDescent="0.35">
      <c r="A958" s="85">
        <v>44446</v>
      </c>
      <c r="B958">
        <v>0.1948</v>
      </c>
    </row>
    <row r="959" spans="1:2" x14ac:dyDescent="0.35">
      <c r="A959" s="85">
        <v>44447</v>
      </c>
      <c r="B959">
        <v>0.19489999999999999</v>
      </c>
    </row>
    <row r="960" spans="1:2" x14ac:dyDescent="0.35">
      <c r="A960" s="85">
        <v>44448</v>
      </c>
      <c r="B960">
        <v>0.19239999999999999</v>
      </c>
    </row>
    <row r="961" spans="1:2" x14ac:dyDescent="0.35">
      <c r="A961" s="85">
        <v>44449</v>
      </c>
      <c r="B961">
        <v>0.18790000000000001</v>
      </c>
    </row>
    <row r="962" spans="1:2" x14ac:dyDescent="0.35">
      <c r="A962" s="85">
        <v>44452</v>
      </c>
      <c r="B962">
        <v>0.1898</v>
      </c>
    </row>
    <row r="963" spans="1:2" x14ac:dyDescent="0.35">
      <c r="A963" s="85">
        <v>44453</v>
      </c>
      <c r="B963">
        <v>0.18959999999999999</v>
      </c>
    </row>
    <row r="964" spans="1:2" x14ac:dyDescent="0.35">
      <c r="A964" s="85">
        <v>44454</v>
      </c>
      <c r="B964">
        <v>0.19520000000000001</v>
      </c>
    </row>
    <row r="965" spans="1:2" x14ac:dyDescent="0.35">
      <c r="A965" s="85">
        <v>44455</v>
      </c>
      <c r="B965">
        <v>0.19489999999999999</v>
      </c>
    </row>
    <row r="966" spans="1:2" x14ac:dyDescent="0.35">
      <c r="A966" s="85">
        <v>44456</v>
      </c>
      <c r="B966">
        <v>0.1918</v>
      </c>
    </row>
    <row r="967" spans="1:2" x14ac:dyDescent="0.35">
      <c r="A967" s="85">
        <v>44459</v>
      </c>
      <c r="B967">
        <v>0.18859999999999999</v>
      </c>
    </row>
    <row r="968" spans="1:2" x14ac:dyDescent="0.35">
      <c r="A968" s="85">
        <v>44460</v>
      </c>
      <c r="B968">
        <v>0.18970000000000001</v>
      </c>
    </row>
    <row r="969" spans="1:2" x14ac:dyDescent="0.35">
      <c r="A969" s="85">
        <v>44461</v>
      </c>
      <c r="B969">
        <v>0.1933</v>
      </c>
    </row>
    <row r="970" spans="1:2" x14ac:dyDescent="0.35">
      <c r="A970" s="85">
        <v>44462</v>
      </c>
      <c r="B970">
        <v>0.19489999999999999</v>
      </c>
    </row>
    <row r="971" spans="1:2" x14ac:dyDescent="0.35">
      <c r="A971" s="85">
        <v>44463</v>
      </c>
      <c r="B971">
        <v>0.191</v>
      </c>
    </row>
    <row r="972" spans="1:2" x14ac:dyDescent="0.35">
      <c r="A972" s="85">
        <v>44466</v>
      </c>
      <c r="B972">
        <v>0.18920000000000001</v>
      </c>
    </row>
    <row r="973" spans="1:2" x14ac:dyDescent="0.35">
      <c r="A973" s="85">
        <v>44467</v>
      </c>
      <c r="B973">
        <v>0.19320000000000001</v>
      </c>
    </row>
    <row r="974" spans="1:2" x14ac:dyDescent="0.35">
      <c r="A974" s="85">
        <v>44468</v>
      </c>
      <c r="B974">
        <v>0.19409999999999999</v>
      </c>
    </row>
    <row r="975" spans="1:2" x14ac:dyDescent="0.35">
      <c r="A975" s="85">
        <v>44469</v>
      </c>
      <c r="B975">
        <v>0.2024</v>
      </c>
    </row>
    <row r="976" spans="1:2" x14ac:dyDescent="0.35">
      <c r="A976" s="85">
        <v>44470</v>
      </c>
      <c r="B976">
        <v>0.2006</v>
      </c>
    </row>
    <row r="977" spans="1:2" x14ac:dyDescent="0.35">
      <c r="A977" s="85">
        <v>44473</v>
      </c>
      <c r="B977">
        <v>0.19689999999999999</v>
      </c>
    </row>
    <row r="978" spans="1:2" x14ac:dyDescent="0.35">
      <c r="A978" s="85">
        <v>44474</v>
      </c>
      <c r="B978">
        <v>0.19850000000000001</v>
      </c>
    </row>
    <row r="979" spans="1:2" x14ac:dyDescent="0.35">
      <c r="A979" s="85">
        <v>44475</v>
      </c>
      <c r="B979">
        <v>0.19769999999999999</v>
      </c>
    </row>
    <row r="980" spans="1:2" x14ac:dyDescent="0.35">
      <c r="A980" s="85">
        <v>44476</v>
      </c>
      <c r="B980">
        <v>0.19839999999999999</v>
      </c>
    </row>
    <row r="981" spans="1:2" x14ac:dyDescent="0.35">
      <c r="A981" s="85">
        <v>44477</v>
      </c>
      <c r="B981">
        <v>0.2029</v>
      </c>
    </row>
    <row r="982" spans="1:2" x14ac:dyDescent="0.35">
      <c r="A982" s="85">
        <v>44480</v>
      </c>
      <c r="B982">
        <v>0.20330000000000001</v>
      </c>
    </row>
    <row r="983" spans="1:2" x14ac:dyDescent="0.35">
      <c r="A983" s="85">
        <v>44481</v>
      </c>
      <c r="B983">
        <v>0.20069999999999999</v>
      </c>
    </row>
    <row r="984" spans="1:2" x14ac:dyDescent="0.35">
      <c r="A984" s="85">
        <v>44482</v>
      </c>
      <c r="B984">
        <v>0.1986</v>
      </c>
    </row>
    <row r="985" spans="1:2" x14ac:dyDescent="0.35">
      <c r="A985" s="85">
        <v>44483</v>
      </c>
      <c r="B985">
        <v>0.19589999999999999</v>
      </c>
    </row>
    <row r="986" spans="1:2" x14ac:dyDescent="0.35">
      <c r="A986" s="85">
        <v>44484</v>
      </c>
      <c r="B986">
        <v>0.19800000000000001</v>
      </c>
    </row>
    <row r="987" spans="1:2" x14ac:dyDescent="0.35">
      <c r="A987" s="85">
        <v>44487</v>
      </c>
      <c r="B987">
        <v>0.19350000000000001</v>
      </c>
    </row>
    <row r="988" spans="1:2" x14ac:dyDescent="0.35">
      <c r="A988" s="85">
        <v>44488</v>
      </c>
      <c r="B988">
        <v>0.18870000000000001</v>
      </c>
    </row>
    <row r="989" spans="1:2" x14ac:dyDescent="0.35">
      <c r="A989" s="85">
        <v>44489</v>
      </c>
      <c r="B989">
        <v>0.18970000000000001</v>
      </c>
    </row>
    <row r="990" spans="1:2" x14ac:dyDescent="0.35">
      <c r="A990" s="85">
        <v>44490</v>
      </c>
      <c r="B990">
        <v>0.18940000000000001</v>
      </c>
    </row>
    <row r="991" spans="1:2" x14ac:dyDescent="0.35">
      <c r="A991" s="85">
        <v>44491</v>
      </c>
      <c r="B991">
        <v>0.1908</v>
      </c>
    </row>
    <row r="992" spans="1:2" x14ac:dyDescent="0.35">
      <c r="A992" s="85">
        <v>44494</v>
      </c>
      <c r="B992">
        <v>0.19389999999999999</v>
      </c>
    </row>
    <row r="993" spans="1:2" x14ac:dyDescent="0.35">
      <c r="A993" s="85">
        <v>44495</v>
      </c>
      <c r="B993">
        <v>0.1966</v>
      </c>
    </row>
    <row r="994" spans="1:2" x14ac:dyDescent="0.35">
      <c r="A994" s="85">
        <v>44496</v>
      </c>
      <c r="B994">
        <v>0.19700000000000001</v>
      </c>
    </row>
    <row r="995" spans="1:2" x14ac:dyDescent="0.35">
      <c r="A995" s="85">
        <v>44497</v>
      </c>
      <c r="B995">
        <v>0.19620000000000001</v>
      </c>
    </row>
    <row r="996" spans="1:2" x14ac:dyDescent="0.35">
      <c r="A996" s="85">
        <v>44498</v>
      </c>
      <c r="B996">
        <v>0.19270000000000001</v>
      </c>
    </row>
    <row r="997" spans="1:2" x14ac:dyDescent="0.35">
      <c r="A997" s="85">
        <v>44501</v>
      </c>
      <c r="B997">
        <v>0.19370000000000001</v>
      </c>
    </row>
    <row r="998" spans="1:2" x14ac:dyDescent="0.35">
      <c r="A998" s="85">
        <v>44502</v>
      </c>
      <c r="B998">
        <v>0.19539999999999999</v>
      </c>
    </row>
    <row r="999" spans="1:2" x14ac:dyDescent="0.35">
      <c r="A999" s="85">
        <v>44503</v>
      </c>
      <c r="B999">
        <v>0.1938</v>
      </c>
    </row>
    <row r="1000" spans="1:2" x14ac:dyDescent="0.35">
      <c r="A1000" s="85">
        <v>44504</v>
      </c>
      <c r="B1000">
        <v>0.1963</v>
      </c>
    </row>
    <row r="1001" spans="1:2" x14ac:dyDescent="0.35">
      <c r="A1001" s="85">
        <v>44505</v>
      </c>
      <c r="B1001">
        <v>0.19939999999999999</v>
      </c>
    </row>
    <row r="1002" spans="1:2" x14ac:dyDescent="0.35">
      <c r="A1002" s="85">
        <v>44508</v>
      </c>
      <c r="B1002">
        <v>0.19919999999999999</v>
      </c>
    </row>
    <row r="1003" spans="1:2" x14ac:dyDescent="0.35">
      <c r="A1003" s="85">
        <v>44509</v>
      </c>
      <c r="B1003">
        <v>0.19900000000000001</v>
      </c>
    </row>
    <row r="1004" spans="1:2" x14ac:dyDescent="0.35">
      <c r="A1004" s="85">
        <v>44510</v>
      </c>
      <c r="B1004">
        <v>0.19600000000000001</v>
      </c>
    </row>
    <row r="1005" spans="1:2" x14ac:dyDescent="0.35">
      <c r="A1005" s="85">
        <v>44511</v>
      </c>
      <c r="B1005">
        <v>0.20119999999999999</v>
      </c>
    </row>
    <row r="1006" spans="1:2" x14ac:dyDescent="0.35">
      <c r="A1006" s="85">
        <v>44512</v>
      </c>
      <c r="B1006">
        <v>0.2001</v>
      </c>
    </row>
    <row r="1007" spans="1:2" x14ac:dyDescent="0.35">
      <c r="A1007" s="85">
        <v>44515</v>
      </c>
      <c r="B1007">
        <v>0.19739999999999999</v>
      </c>
    </row>
    <row r="1008" spans="1:2" x14ac:dyDescent="0.35">
      <c r="A1008" s="85">
        <v>44516</v>
      </c>
      <c r="B1008">
        <v>0.19989999999999999</v>
      </c>
    </row>
    <row r="1009" spans="1:2" x14ac:dyDescent="0.35">
      <c r="A1009" s="85">
        <v>44517</v>
      </c>
      <c r="B1009">
        <v>0.20419999999999999</v>
      </c>
    </row>
    <row r="1010" spans="1:2" x14ac:dyDescent="0.35">
      <c r="A1010" s="85">
        <v>44518</v>
      </c>
      <c r="B1010">
        <v>0.20180000000000001</v>
      </c>
    </row>
    <row r="1011" spans="1:2" x14ac:dyDescent="0.35">
      <c r="A1011" s="85">
        <v>44519</v>
      </c>
      <c r="B1011">
        <v>0.19989999999999999</v>
      </c>
    </row>
    <row r="1012" spans="1:2" x14ac:dyDescent="0.35">
      <c r="A1012" s="85">
        <v>44522</v>
      </c>
      <c r="B1012">
        <v>0.1976</v>
      </c>
    </row>
    <row r="1013" spans="1:2" x14ac:dyDescent="0.35">
      <c r="A1013" s="85">
        <v>44523</v>
      </c>
      <c r="B1013">
        <v>0.2011</v>
      </c>
    </row>
    <row r="1014" spans="1:2" x14ac:dyDescent="0.35">
      <c r="A1014" s="85">
        <v>44524</v>
      </c>
      <c r="B1014">
        <v>0.1993</v>
      </c>
    </row>
    <row r="1015" spans="1:2" x14ac:dyDescent="0.35">
      <c r="A1015" s="85">
        <v>44525</v>
      </c>
      <c r="B1015">
        <v>0.1993</v>
      </c>
    </row>
    <row r="1016" spans="1:2" x14ac:dyDescent="0.35">
      <c r="A1016" s="85">
        <v>44526</v>
      </c>
      <c r="B1016">
        <v>0.19350000000000001</v>
      </c>
    </row>
    <row r="1017" spans="1:2" x14ac:dyDescent="0.35">
      <c r="A1017" s="85">
        <v>44529</v>
      </c>
      <c r="B1017">
        <v>0.19189999999999999</v>
      </c>
    </row>
    <row r="1018" spans="1:2" x14ac:dyDescent="0.35">
      <c r="A1018" s="85">
        <v>44530</v>
      </c>
      <c r="B1018">
        <v>0.186</v>
      </c>
    </row>
    <row r="1019" spans="1:2" x14ac:dyDescent="0.35">
      <c r="A1019" s="85">
        <v>44531</v>
      </c>
      <c r="B1019">
        <v>0.186</v>
      </c>
    </row>
    <row r="1020" spans="1:2" x14ac:dyDescent="0.35">
      <c r="A1020" s="85">
        <v>44532</v>
      </c>
      <c r="B1020">
        <v>0.1862</v>
      </c>
    </row>
    <row r="1021" spans="1:2" x14ac:dyDescent="0.35">
      <c r="A1021" s="85">
        <v>44533</v>
      </c>
      <c r="B1021">
        <v>0.1875</v>
      </c>
    </row>
    <row r="1022" spans="1:2" x14ac:dyDescent="0.35">
      <c r="A1022" s="85">
        <v>44536</v>
      </c>
      <c r="B1022">
        <v>0.19159999999999999</v>
      </c>
    </row>
    <row r="1023" spans="1:2" x14ac:dyDescent="0.35">
      <c r="A1023" s="85">
        <v>44537</v>
      </c>
      <c r="B1023">
        <v>0.1948</v>
      </c>
    </row>
    <row r="1024" spans="1:2" x14ac:dyDescent="0.35">
      <c r="A1024" s="85">
        <v>44538</v>
      </c>
      <c r="B1024">
        <v>0.19819999999999999</v>
      </c>
    </row>
    <row r="1025" spans="1:2" x14ac:dyDescent="0.35">
      <c r="A1025" s="85">
        <v>44539</v>
      </c>
      <c r="B1025">
        <v>0.19689999999999999</v>
      </c>
    </row>
    <row r="1026" spans="1:2" x14ac:dyDescent="0.35">
      <c r="A1026" s="85">
        <v>44540</v>
      </c>
      <c r="B1026">
        <v>0.1971</v>
      </c>
    </row>
    <row r="1027" spans="1:2" x14ac:dyDescent="0.35">
      <c r="A1027" s="85">
        <v>44543</v>
      </c>
      <c r="B1027">
        <v>0.19639999999999999</v>
      </c>
    </row>
    <row r="1028" spans="1:2" x14ac:dyDescent="0.35">
      <c r="A1028" s="85">
        <v>44544</v>
      </c>
      <c r="B1028">
        <v>0.19650000000000001</v>
      </c>
    </row>
    <row r="1029" spans="1:2" x14ac:dyDescent="0.35">
      <c r="A1029" s="85">
        <v>44545</v>
      </c>
      <c r="B1029">
        <v>0.19289999999999999</v>
      </c>
    </row>
    <row r="1030" spans="1:2" x14ac:dyDescent="0.35">
      <c r="A1030" s="85">
        <v>44546</v>
      </c>
      <c r="B1030">
        <v>0.19400000000000001</v>
      </c>
    </row>
    <row r="1031" spans="1:2" x14ac:dyDescent="0.35">
      <c r="A1031" s="85">
        <v>44547</v>
      </c>
      <c r="B1031">
        <v>0.19109999999999999</v>
      </c>
    </row>
    <row r="1032" spans="1:2" x14ac:dyDescent="0.35">
      <c r="A1032" s="85">
        <v>44550</v>
      </c>
      <c r="B1032">
        <v>0.18590000000000001</v>
      </c>
    </row>
    <row r="1033" spans="1:2" x14ac:dyDescent="0.35">
      <c r="A1033" s="85">
        <v>44551</v>
      </c>
      <c r="B1033">
        <v>0.18740000000000001</v>
      </c>
    </row>
    <row r="1034" spans="1:2" x14ac:dyDescent="0.35">
      <c r="A1034" s="85">
        <v>44552</v>
      </c>
      <c r="B1034">
        <v>0.19259999999999999</v>
      </c>
    </row>
    <row r="1035" spans="1:2" x14ac:dyDescent="0.35">
      <c r="A1035" s="85">
        <v>44553</v>
      </c>
      <c r="B1035">
        <v>0.19239999999999999</v>
      </c>
    </row>
    <row r="1036" spans="1:2" x14ac:dyDescent="0.35">
      <c r="A1036" s="85">
        <v>44554</v>
      </c>
      <c r="B1036">
        <v>0.19239999999999999</v>
      </c>
    </row>
    <row r="1037" spans="1:2" x14ac:dyDescent="0.35">
      <c r="A1037" s="85">
        <v>44557</v>
      </c>
      <c r="B1037">
        <v>0.19209999999999999</v>
      </c>
    </row>
    <row r="1038" spans="1:2" x14ac:dyDescent="0.35">
      <c r="A1038" s="85">
        <v>44558</v>
      </c>
      <c r="B1038">
        <v>0.18959999999999999</v>
      </c>
    </row>
    <row r="1039" spans="1:2" x14ac:dyDescent="0.35">
      <c r="A1039" s="85">
        <v>44559</v>
      </c>
      <c r="B1039">
        <v>0.191</v>
      </c>
    </row>
    <row r="1040" spans="1:2" x14ac:dyDescent="0.35">
      <c r="A1040" s="85">
        <v>44560</v>
      </c>
      <c r="B1040">
        <v>0.18779999999999999</v>
      </c>
    </row>
    <row r="1041" spans="1:2" x14ac:dyDescent="0.35">
      <c r="A1041" s="85">
        <v>44561</v>
      </c>
      <c r="B1041">
        <v>0.1888</v>
      </c>
    </row>
    <row r="1042" spans="1:2" x14ac:dyDescent="0.35">
      <c r="A1042" s="85">
        <v>44564</v>
      </c>
      <c r="B1042">
        <v>0.18740000000000001</v>
      </c>
    </row>
    <row r="1043" spans="1:2" x14ac:dyDescent="0.35">
      <c r="A1043" s="85">
        <v>44565</v>
      </c>
      <c r="B1043">
        <v>0.1875</v>
      </c>
    </row>
    <row r="1044" spans="1:2" x14ac:dyDescent="0.35">
      <c r="A1044" s="85">
        <v>44566</v>
      </c>
      <c r="B1044">
        <v>0.18340000000000001</v>
      </c>
    </row>
    <row r="1045" spans="1:2" x14ac:dyDescent="0.35">
      <c r="A1045" s="85">
        <v>44567</v>
      </c>
      <c r="B1045">
        <v>0.18190000000000001</v>
      </c>
    </row>
    <row r="1046" spans="1:2" x14ac:dyDescent="0.35">
      <c r="A1046" s="85">
        <v>44568</v>
      </c>
      <c r="B1046">
        <v>0.18049999999999999</v>
      </c>
    </row>
    <row r="1047" spans="1:2" x14ac:dyDescent="0.35">
      <c r="A1047" s="85">
        <v>44571</v>
      </c>
      <c r="B1047">
        <v>0.17829999999999999</v>
      </c>
    </row>
    <row r="1048" spans="1:2" x14ac:dyDescent="0.35">
      <c r="A1048" s="85">
        <v>44572</v>
      </c>
      <c r="B1048">
        <v>0.18110000000000001</v>
      </c>
    </row>
    <row r="1049" spans="1:2" x14ac:dyDescent="0.35">
      <c r="A1049" s="85">
        <v>44573</v>
      </c>
      <c r="B1049">
        <v>0.18340000000000001</v>
      </c>
    </row>
    <row r="1050" spans="1:2" x14ac:dyDescent="0.35">
      <c r="A1050" s="85">
        <v>44574</v>
      </c>
      <c r="B1050">
        <v>0.18090000000000001</v>
      </c>
    </row>
    <row r="1051" spans="1:2" x14ac:dyDescent="0.35">
      <c r="A1051" s="85">
        <v>44575</v>
      </c>
      <c r="B1051">
        <v>0.18310000000000001</v>
      </c>
    </row>
    <row r="1052" spans="1:2" x14ac:dyDescent="0.35">
      <c r="A1052" s="85">
        <v>44578</v>
      </c>
      <c r="B1052">
        <v>0.18310000000000001</v>
      </c>
    </row>
    <row r="1053" spans="1:2" x14ac:dyDescent="0.35">
      <c r="A1053" s="85">
        <v>44579</v>
      </c>
      <c r="B1053">
        <v>0.18659999999999999</v>
      </c>
    </row>
    <row r="1054" spans="1:2" x14ac:dyDescent="0.35">
      <c r="A1054" s="85">
        <v>44580</v>
      </c>
      <c r="B1054">
        <v>0.19070000000000001</v>
      </c>
    </row>
    <row r="1055" spans="1:2" x14ac:dyDescent="0.35">
      <c r="A1055" s="85">
        <v>44581</v>
      </c>
      <c r="B1055">
        <v>0.1893</v>
      </c>
    </row>
    <row r="1056" spans="1:2" x14ac:dyDescent="0.35">
      <c r="A1056" s="85">
        <v>44582</v>
      </c>
      <c r="B1056">
        <v>0.189</v>
      </c>
    </row>
    <row r="1057" spans="1:2" x14ac:dyDescent="0.35">
      <c r="A1057" s="85">
        <v>44585</v>
      </c>
      <c r="B1057">
        <v>0.18809999999999999</v>
      </c>
    </row>
    <row r="1058" spans="1:2" x14ac:dyDescent="0.35">
      <c r="A1058" s="85">
        <v>44586</v>
      </c>
      <c r="B1058">
        <v>0.18779999999999999</v>
      </c>
    </row>
    <row r="1059" spans="1:2" x14ac:dyDescent="0.35">
      <c r="A1059" s="85">
        <v>44587</v>
      </c>
      <c r="B1059">
        <v>0.18490000000000001</v>
      </c>
    </row>
    <row r="1060" spans="1:2" x14ac:dyDescent="0.35">
      <c r="A1060" s="85">
        <v>44588</v>
      </c>
      <c r="B1060">
        <v>0.18410000000000001</v>
      </c>
    </row>
    <row r="1061" spans="1:2" x14ac:dyDescent="0.35">
      <c r="A1061" s="85">
        <v>44589</v>
      </c>
      <c r="B1061">
        <v>0.182</v>
      </c>
    </row>
    <row r="1062" spans="1:2" x14ac:dyDescent="0.35">
      <c r="A1062" s="85">
        <v>44592</v>
      </c>
      <c r="B1062">
        <v>0.1822</v>
      </c>
    </row>
    <row r="1063" spans="1:2" x14ac:dyDescent="0.35">
      <c r="A1063" s="85">
        <v>44593</v>
      </c>
      <c r="B1063">
        <v>0.18479999999999999</v>
      </c>
    </row>
    <row r="1064" spans="1:2" x14ac:dyDescent="0.35">
      <c r="A1064" s="85">
        <v>44594</v>
      </c>
      <c r="B1064">
        <v>0.17929999999999999</v>
      </c>
    </row>
    <row r="1065" spans="1:2" x14ac:dyDescent="0.35">
      <c r="A1065" s="85">
        <v>44595</v>
      </c>
      <c r="B1065">
        <v>0.1799</v>
      </c>
    </row>
    <row r="1066" spans="1:2" x14ac:dyDescent="0.35">
      <c r="A1066" s="85">
        <v>44596</v>
      </c>
      <c r="B1066">
        <v>0.18229999999999999</v>
      </c>
    </row>
    <row r="1067" spans="1:2" x14ac:dyDescent="0.35">
      <c r="A1067" s="85">
        <v>44599</v>
      </c>
      <c r="B1067">
        <v>0.18049999999999999</v>
      </c>
    </row>
    <row r="1068" spans="1:2" x14ac:dyDescent="0.35">
      <c r="A1068" s="85">
        <v>44600</v>
      </c>
      <c r="B1068">
        <v>0.18079999999999999</v>
      </c>
    </row>
    <row r="1069" spans="1:2" x14ac:dyDescent="0.35">
      <c r="A1069" s="85">
        <v>44601</v>
      </c>
      <c r="B1069">
        <v>0.18479999999999999</v>
      </c>
    </row>
    <row r="1070" spans="1:2" x14ac:dyDescent="0.35">
      <c r="A1070" s="85">
        <v>44602</v>
      </c>
      <c r="B1070">
        <v>0.183</v>
      </c>
    </row>
    <row r="1071" spans="1:2" x14ac:dyDescent="0.35">
      <c r="A1071" s="85">
        <v>44603</v>
      </c>
      <c r="B1071">
        <v>0.18260000000000001</v>
      </c>
    </row>
    <row r="1072" spans="1:2" x14ac:dyDescent="0.35">
      <c r="A1072" s="85">
        <v>44606</v>
      </c>
      <c r="B1072">
        <v>0.1812</v>
      </c>
    </row>
    <row r="1073" spans="1:2" x14ac:dyDescent="0.35">
      <c r="A1073" s="85">
        <v>44607</v>
      </c>
      <c r="B1073">
        <v>0.1807</v>
      </c>
    </row>
    <row r="1074" spans="1:2" x14ac:dyDescent="0.35">
      <c r="A1074" s="85">
        <v>44608</v>
      </c>
      <c r="B1074">
        <v>0.1807</v>
      </c>
    </row>
    <row r="1075" spans="1:2" x14ac:dyDescent="0.35">
      <c r="A1075" s="85">
        <v>44609</v>
      </c>
      <c r="B1075">
        <v>0.18279999999999999</v>
      </c>
    </row>
    <row r="1076" spans="1:2" x14ac:dyDescent="0.35">
      <c r="A1076" s="85">
        <v>44610</v>
      </c>
      <c r="B1076">
        <v>0.182</v>
      </c>
    </row>
    <row r="1077" spans="1:2" x14ac:dyDescent="0.35">
      <c r="A1077" s="85">
        <v>44613</v>
      </c>
      <c r="B1077">
        <v>0.182</v>
      </c>
    </row>
    <row r="1078" spans="1:2" x14ac:dyDescent="0.35">
      <c r="A1078" s="85">
        <v>44614</v>
      </c>
      <c r="B1078">
        <v>0.18479999999999999</v>
      </c>
    </row>
    <row r="1079" spans="1:2" x14ac:dyDescent="0.35">
      <c r="A1079" s="85">
        <v>44615</v>
      </c>
      <c r="B1079">
        <v>0.184</v>
      </c>
    </row>
    <row r="1080" spans="1:2" x14ac:dyDescent="0.35">
      <c r="A1080" s="85">
        <v>44616</v>
      </c>
      <c r="B1080">
        <v>0.18160000000000001</v>
      </c>
    </row>
    <row r="1081" spans="1:2" x14ac:dyDescent="0.35">
      <c r="A1081" s="85">
        <v>44617</v>
      </c>
      <c r="B1081">
        <v>0.17760000000000001</v>
      </c>
    </row>
    <row r="1082" spans="1:2" x14ac:dyDescent="0.35">
      <c r="A1082" s="85">
        <v>44620</v>
      </c>
      <c r="B1082">
        <v>0.17760000000000001</v>
      </c>
    </row>
    <row r="1083" spans="1:2" x14ac:dyDescent="0.35">
      <c r="A1083" s="85">
        <v>44621</v>
      </c>
      <c r="B1083">
        <v>0.18340000000000001</v>
      </c>
    </row>
    <row r="1084" spans="1:2" x14ac:dyDescent="0.35">
      <c r="A1084" s="85">
        <v>44622</v>
      </c>
      <c r="B1084">
        <v>0.18640000000000001</v>
      </c>
    </row>
    <row r="1085" spans="1:2" x14ac:dyDescent="0.35">
      <c r="A1085" s="85">
        <v>44623</v>
      </c>
      <c r="B1085">
        <v>0.1893</v>
      </c>
    </row>
    <row r="1086" spans="1:2" x14ac:dyDescent="0.35">
      <c r="A1086" s="85">
        <v>44624</v>
      </c>
      <c r="B1086">
        <v>0.19350000000000001</v>
      </c>
    </row>
    <row r="1087" spans="1:2" x14ac:dyDescent="0.35">
      <c r="A1087" s="85">
        <v>44627</v>
      </c>
      <c r="B1087">
        <v>0.19270000000000001</v>
      </c>
    </row>
    <row r="1088" spans="1:2" x14ac:dyDescent="0.35">
      <c r="A1088" s="85">
        <v>44628</v>
      </c>
      <c r="B1088">
        <v>0.1943</v>
      </c>
    </row>
    <row r="1089" spans="1:2" x14ac:dyDescent="0.35">
      <c r="A1089" s="85">
        <v>44629</v>
      </c>
      <c r="B1089">
        <v>0.18940000000000001</v>
      </c>
    </row>
    <row r="1090" spans="1:2" x14ac:dyDescent="0.35">
      <c r="A1090" s="85">
        <v>44630</v>
      </c>
      <c r="B1090">
        <v>0.191</v>
      </c>
    </row>
    <row r="1091" spans="1:2" x14ac:dyDescent="0.35">
      <c r="A1091" s="85">
        <v>44631</v>
      </c>
      <c r="B1091">
        <v>0.19239999999999999</v>
      </c>
    </row>
    <row r="1092" spans="1:2" x14ac:dyDescent="0.35">
      <c r="A1092" s="85">
        <v>44634</v>
      </c>
      <c r="B1092">
        <v>0.1913</v>
      </c>
    </row>
    <row r="1093" spans="1:2" x14ac:dyDescent="0.35">
      <c r="A1093" s="85">
        <v>44635</v>
      </c>
      <c r="B1093">
        <v>0.18729999999999999</v>
      </c>
    </row>
    <row r="1094" spans="1:2" x14ac:dyDescent="0.35">
      <c r="A1094" s="85">
        <v>44636</v>
      </c>
      <c r="B1094">
        <v>0.18559999999999999</v>
      </c>
    </row>
    <row r="1095" spans="1:2" x14ac:dyDescent="0.35">
      <c r="A1095" s="85">
        <v>44637</v>
      </c>
      <c r="B1095">
        <v>0.18690000000000001</v>
      </c>
    </row>
    <row r="1096" spans="1:2" x14ac:dyDescent="0.35">
      <c r="A1096" s="85">
        <v>44638</v>
      </c>
      <c r="B1096">
        <v>0.1893</v>
      </c>
    </row>
    <row r="1097" spans="1:2" x14ac:dyDescent="0.35">
      <c r="A1097" s="85">
        <v>44641</v>
      </c>
      <c r="B1097">
        <v>0.1928</v>
      </c>
    </row>
    <row r="1098" spans="1:2" x14ac:dyDescent="0.35">
      <c r="A1098" s="85">
        <v>44642</v>
      </c>
      <c r="B1098">
        <v>0.1915</v>
      </c>
    </row>
    <row r="1099" spans="1:2" x14ac:dyDescent="0.35">
      <c r="A1099" s="85">
        <v>44643</v>
      </c>
      <c r="B1099">
        <v>0.19239999999999999</v>
      </c>
    </row>
    <row r="1100" spans="1:2" x14ac:dyDescent="0.35">
      <c r="A1100" s="85">
        <v>44644</v>
      </c>
      <c r="B1100">
        <v>0.19259999999999999</v>
      </c>
    </row>
    <row r="1101" spans="1:2" x14ac:dyDescent="0.35">
      <c r="A1101" s="85">
        <v>44645</v>
      </c>
      <c r="B1101">
        <v>0.1961</v>
      </c>
    </row>
    <row r="1102" spans="1:2" x14ac:dyDescent="0.35">
      <c r="A1102" s="85">
        <v>44648</v>
      </c>
      <c r="B1102">
        <v>0.19589999999999999</v>
      </c>
    </row>
    <row r="1103" spans="1:2" x14ac:dyDescent="0.35">
      <c r="A1103" s="85">
        <v>44649</v>
      </c>
      <c r="B1103">
        <v>0.19109999999999999</v>
      </c>
    </row>
    <row r="1104" spans="1:2" x14ac:dyDescent="0.35">
      <c r="A1104" s="85">
        <v>44650</v>
      </c>
      <c r="B1104">
        <v>0.19470000000000001</v>
      </c>
    </row>
    <row r="1105" spans="1:2" x14ac:dyDescent="0.35">
      <c r="A1105" s="85">
        <v>44651</v>
      </c>
      <c r="B1105">
        <v>0.19489999999999999</v>
      </c>
    </row>
    <row r="1106" spans="1:2" x14ac:dyDescent="0.35">
      <c r="A1106" s="85">
        <v>44652</v>
      </c>
      <c r="B1106">
        <v>0.19370000000000001</v>
      </c>
    </row>
    <row r="1107" spans="1:2" x14ac:dyDescent="0.35">
      <c r="A1107" s="85">
        <v>44655</v>
      </c>
      <c r="B1107">
        <v>0.1961</v>
      </c>
    </row>
    <row r="1108" spans="1:2" x14ac:dyDescent="0.35">
      <c r="A1108" s="85">
        <v>44656</v>
      </c>
      <c r="B1108">
        <v>0.19650000000000001</v>
      </c>
    </row>
    <row r="1109" spans="1:2" x14ac:dyDescent="0.35">
      <c r="A1109" s="85">
        <v>44657</v>
      </c>
      <c r="B1109">
        <v>0.19589999999999999</v>
      </c>
    </row>
    <row r="1110" spans="1:2" x14ac:dyDescent="0.35">
      <c r="A1110" s="85">
        <v>44658</v>
      </c>
      <c r="B1110">
        <v>0.19839999999999999</v>
      </c>
    </row>
    <row r="1111" spans="1:2" x14ac:dyDescent="0.35">
      <c r="A1111" s="85">
        <v>44659</v>
      </c>
      <c r="B1111">
        <v>0.2041</v>
      </c>
    </row>
    <row r="1112" spans="1:2" x14ac:dyDescent="0.35">
      <c r="A1112" s="85">
        <v>44662</v>
      </c>
      <c r="B1112">
        <v>0.2031</v>
      </c>
    </row>
    <row r="1113" spans="1:2" x14ac:dyDescent="0.35">
      <c r="A1113" s="85">
        <v>44663</v>
      </c>
      <c r="B1113">
        <v>0.20219999999999999</v>
      </c>
    </row>
    <row r="1114" spans="1:2" x14ac:dyDescent="0.35">
      <c r="A1114" s="85">
        <v>44664</v>
      </c>
      <c r="B1114">
        <v>0.20100000000000001</v>
      </c>
    </row>
    <row r="1115" spans="1:2" x14ac:dyDescent="0.35">
      <c r="A1115" s="85">
        <v>44665</v>
      </c>
      <c r="B1115">
        <v>0.2006</v>
      </c>
    </row>
    <row r="1116" spans="1:2" x14ac:dyDescent="0.35">
      <c r="A1116" s="85">
        <v>44669</v>
      </c>
      <c r="B1116">
        <v>0.2026</v>
      </c>
    </row>
    <row r="1117" spans="1:2" x14ac:dyDescent="0.35">
      <c r="A1117" s="85">
        <v>44670</v>
      </c>
      <c r="B1117">
        <v>0.19739999999999999</v>
      </c>
    </row>
    <row r="1118" spans="1:2" x14ac:dyDescent="0.35">
      <c r="A1118" s="85">
        <v>44671</v>
      </c>
      <c r="B1118">
        <v>0.19620000000000001</v>
      </c>
    </row>
    <row r="1119" spans="1:2" x14ac:dyDescent="0.35">
      <c r="A1119" s="85">
        <v>44672</v>
      </c>
      <c r="B1119">
        <v>0.19869999999999999</v>
      </c>
    </row>
    <row r="1120" spans="1:2" x14ac:dyDescent="0.35">
      <c r="A1120" s="85">
        <v>44673</v>
      </c>
      <c r="B1120">
        <v>0.19239999999999999</v>
      </c>
    </row>
    <row r="1121" spans="1:2" x14ac:dyDescent="0.35">
      <c r="A1121" s="85">
        <v>44676</v>
      </c>
      <c r="B1121">
        <v>0.1895</v>
      </c>
    </row>
    <row r="1122" spans="1:2" x14ac:dyDescent="0.35">
      <c r="A1122" s="85">
        <v>44677</v>
      </c>
      <c r="B1122">
        <v>0.1898</v>
      </c>
    </row>
    <row r="1123" spans="1:2" x14ac:dyDescent="0.35">
      <c r="A1123" s="85">
        <v>44678</v>
      </c>
      <c r="B1123">
        <v>0.18970000000000001</v>
      </c>
    </row>
    <row r="1124" spans="1:2" x14ac:dyDescent="0.35">
      <c r="A1124" s="85">
        <v>44679</v>
      </c>
      <c r="B1124">
        <v>0.19309999999999999</v>
      </c>
    </row>
    <row r="1125" spans="1:2" x14ac:dyDescent="0.35">
      <c r="A1125" s="85">
        <v>44680</v>
      </c>
      <c r="B1125">
        <v>0.19189999999999999</v>
      </c>
    </row>
    <row r="1126" spans="1:2" x14ac:dyDescent="0.35">
      <c r="A1126" s="85">
        <v>44683</v>
      </c>
      <c r="B1126">
        <v>0.1885</v>
      </c>
    </row>
    <row r="1127" spans="1:2" x14ac:dyDescent="0.35">
      <c r="A1127" s="85">
        <v>44684</v>
      </c>
      <c r="B1127">
        <v>0.1862</v>
      </c>
    </row>
    <row r="1128" spans="1:2" x14ac:dyDescent="0.35">
      <c r="A1128" s="85">
        <v>44685</v>
      </c>
      <c r="B1128">
        <v>0.1862</v>
      </c>
    </row>
    <row r="1129" spans="1:2" x14ac:dyDescent="0.35">
      <c r="A1129" s="85">
        <v>44686</v>
      </c>
      <c r="B1129">
        <v>0.18779999999999999</v>
      </c>
    </row>
    <row r="1130" spans="1:2" x14ac:dyDescent="0.35">
      <c r="A1130" s="85">
        <v>44687</v>
      </c>
      <c r="B1130">
        <v>0.19159999999999999</v>
      </c>
    </row>
    <row r="1131" spans="1:2" x14ac:dyDescent="0.35">
      <c r="A1131" s="85">
        <v>44690</v>
      </c>
      <c r="B1131">
        <v>0.18659999999999999</v>
      </c>
    </row>
    <row r="1132" spans="1:2" x14ac:dyDescent="0.35">
      <c r="A1132" s="85">
        <v>44691</v>
      </c>
      <c r="B1132">
        <v>0.18540000000000001</v>
      </c>
    </row>
    <row r="1133" spans="1:2" x14ac:dyDescent="0.35">
      <c r="A1133" s="85">
        <v>44692</v>
      </c>
      <c r="B1133">
        <v>0.1855</v>
      </c>
    </row>
    <row r="1134" spans="1:2" x14ac:dyDescent="0.35">
      <c r="A1134" s="85">
        <v>44693</v>
      </c>
      <c r="B1134">
        <v>0.18640000000000001</v>
      </c>
    </row>
    <row r="1135" spans="1:2" x14ac:dyDescent="0.35">
      <c r="A1135" s="85">
        <v>44694</v>
      </c>
      <c r="B1135">
        <v>0.19170000000000001</v>
      </c>
    </row>
    <row r="1136" spans="1:2" x14ac:dyDescent="0.35">
      <c r="A1136" s="85">
        <v>44697</v>
      </c>
      <c r="B1136">
        <v>0.1968</v>
      </c>
    </row>
    <row r="1137" spans="1:2" x14ac:dyDescent="0.35">
      <c r="A1137" s="85">
        <v>44698</v>
      </c>
      <c r="B1137">
        <v>0.2</v>
      </c>
    </row>
    <row r="1138" spans="1:2" x14ac:dyDescent="0.35">
      <c r="A1138" s="85">
        <v>44699</v>
      </c>
      <c r="B1138">
        <v>0.1983</v>
      </c>
    </row>
    <row r="1139" spans="1:2" x14ac:dyDescent="0.35">
      <c r="A1139" s="85">
        <v>44700</v>
      </c>
      <c r="B1139">
        <v>0.19769999999999999</v>
      </c>
    </row>
    <row r="1140" spans="1:2" x14ac:dyDescent="0.35">
      <c r="A1140" s="85">
        <v>44701</v>
      </c>
      <c r="B1140">
        <v>0.19950000000000001</v>
      </c>
    </row>
    <row r="1141" spans="1:2" x14ac:dyDescent="0.35">
      <c r="A1141" s="85">
        <v>44704</v>
      </c>
      <c r="B1141">
        <v>0.19769999999999999</v>
      </c>
    </row>
    <row r="1142" spans="1:2" x14ac:dyDescent="0.35">
      <c r="A1142" s="85">
        <v>44705</v>
      </c>
      <c r="B1142">
        <v>0.19750000000000001</v>
      </c>
    </row>
    <row r="1143" spans="1:2" x14ac:dyDescent="0.35">
      <c r="A1143" s="85">
        <v>44706</v>
      </c>
      <c r="B1143">
        <v>0.1968</v>
      </c>
    </row>
    <row r="1144" spans="1:2" x14ac:dyDescent="0.35">
      <c r="A1144" s="85">
        <v>44707</v>
      </c>
      <c r="B1144">
        <v>0.19539999999999999</v>
      </c>
    </row>
    <row r="1145" spans="1:2" x14ac:dyDescent="0.35">
      <c r="A1145" s="85">
        <v>44708</v>
      </c>
      <c r="B1145">
        <v>0.1961</v>
      </c>
    </row>
    <row r="1146" spans="1:2" x14ac:dyDescent="0.35">
      <c r="A1146" s="85">
        <v>44711</v>
      </c>
      <c r="B1146">
        <v>0.1961</v>
      </c>
    </row>
    <row r="1147" spans="1:2" x14ac:dyDescent="0.35">
      <c r="A1147" s="85">
        <v>44712</v>
      </c>
      <c r="B1147">
        <v>0.19400000000000001</v>
      </c>
    </row>
    <row r="1148" spans="1:2" x14ac:dyDescent="0.35">
      <c r="A1148" s="85">
        <v>44713</v>
      </c>
      <c r="B1148">
        <v>0.19439999999999999</v>
      </c>
    </row>
    <row r="1149" spans="1:2" x14ac:dyDescent="0.35">
      <c r="A1149" s="85">
        <v>44714</v>
      </c>
      <c r="B1149">
        <v>0.19350000000000001</v>
      </c>
    </row>
    <row r="1150" spans="1:2" x14ac:dyDescent="0.35">
      <c r="A1150" s="85">
        <v>44715</v>
      </c>
      <c r="B1150">
        <v>0.19289999999999999</v>
      </c>
    </row>
    <row r="1151" spans="1:2" x14ac:dyDescent="0.35">
      <c r="A1151" s="85">
        <v>44718</v>
      </c>
      <c r="B1151">
        <v>0.1956</v>
      </c>
    </row>
    <row r="1152" spans="1:2" x14ac:dyDescent="0.35">
      <c r="A1152" s="85">
        <v>44719</v>
      </c>
      <c r="B1152">
        <v>0.18970000000000001</v>
      </c>
    </row>
    <row r="1153" spans="1:2" x14ac:dyDescent="0.35">
      <c r="A1153" s="85">
        <v>44720</v>
      </c>
      <c r="B1153">
        <v>0.1898</v>
      </c>
    </row>
    <row r="1154" spans="1:2" x14ac:dyDescent="0.35">
      <c r="A1154" s="85">
        <v>44721</v>
      </c>
      <c r="B1154">
        <v>0.19289999999999999</v>
      </c>
    </row>
    <row r="1155" spans="1:2" x14ac:dyDescent="0.35">
      <c r="A1155" s="85">
        <v>44722</v>
      </c>
      <c r="B1155">
        <v>0.18870000000000001</v>
      </c>
    </row>
    <row r="1156" spans="1:2" x14ac:dyDescent="0.35">
      <c r="A1156" s="85">
        <v>44725</v>
      </c>
      <c r="B1156">
        <v>0.18709999999999999</v>
      </c>
    </row>
    <row r="1157" spans="1:2" x14ac:dyDescent="0.35">
      <c r="A1157" s="85">
        <v>44726</v>
      </c>
      <c r="B1157">
        <v>0.187</v>
      </c>
    </row>
    <row r="1158" spans="1:2" x14ac:dyDescent="0.35">
      <c r="A1158" s="85">
        <v>44727</v>
      </c>
      <c r="B1158">
        <v>0.18459999999999999</v>
      </c>
    </row>
    <row r="1159" spans="1:2" x14ac:dyDescent="0.35">
      <c r="A1159" s="85">
        <v>44728</v>
      </c>
      <c r="B1159">
        <v>0.18579999999999999</v>
      </c>
    </row>
    <row r="1160" spans="1:2" x14ac:dyDescent="0.35">
      <c r="A1160" s="85">
        <v>44729</v>
      </c>
      <c r="B1160">
        <v>0.186</v>
      </c>
    </row>
    <row r="1161" spans="1:2" x14ac:dyDescent="0.35">
      <c r="A1161" s="85">
        <v>44732</v>
      </c>
      <c r="B1161">
        <v>0.186</v>
      </c>
    </row>
    <row r="1162" spans="1:2" x14ac:dyDescent="0.35">
      <c r="A1162" s="85">
        <v>44733</v>
      </c>
      <c r="B1162">
        <v>0.18659999999999999</v>
      </c>
    </row>
    <row r="1163" spans="1:2" x14ac:dyDescent="0.35">
      <c r="A1163" s="85">
        <v>44734</v>
      </c>
      <c r="B1163">
        <v>0.1845</v>
      </c>
    </row>
    <row r="1164" spans="1:2" x14ac:dyDescent="0.35">
      <c r="A1164" s="85">
        <v>44735</v>
      </c>
      <c r="B1164">
        <v>0.18379999999999999</v>
      </c>
    </row>
    <row r="1165" spans="1:2" x14ac:dyDescent="0.35">
      <c r="A1165" s="85">
        <v>44736</v>
      </c>
      <c r="B1165">
        <v>0.1837</v>
      </c>
    </row>
    <row r="1166" spans="1:2" x14ac:dyDescent="0.35">
      <c r="A1166" s="85">
        <v>44739</v>
      </c>
      <c r="B1166">
        <v>0.18290000000000001</v>
      </c>
    </row>
    <row r="1167" spans="1:2" x14ac:dyDescent="0.35">
      <c r="A1167" s="85">
        <v>44740</v>
      </c>
      <c r="B1167">
        <v>0.18260000000000001</v>
      </c>
    </row>
    <row r="1168" spans="1:2" x14ac:dyDescent="0.35">
      <c r="A1168" s="85">
        <v>44741</v>
      </c>
      <c r="B1168">
        <v>0.18479999999999999</v>
      </c>
    </row>
    <row r="1169" spans="1:2" x14ac:dyDescent="0.35">
      <c r="A1169" s="85">
        <v>44742</v>
      </c>
      <c r="B1169">
        <v>0.1855</v>
      </c>
    </row>
    <row r="1170" spans="1:2" x14ac:dyDescent="0.35">
      <c r="A1170" s="85">
        <v>44743</v>
      </c>
      <c r="B1170">
        <v>0.1847</v>
      </c>
    </row>
    <row r="1171" spans="1:2" x14ac:dyDescent="0.35">
      <c r="A1171" s="85">
        <v>44746</v>
      </c>
      <c r="B1171">
        <v>0.18060000000000001</v>
      </c>
    </row>
    <row r="1172" spans="1:2" x14ac:dyDescent="0.35">
      <c r="A1172" s="85">
        <v>44747</v>
      </c>
      <c r="B1172">
        <v>0.1807</v>
      </c>
    </row>
    <row r="1173" spans="1:2" x14ac:dyDescent="0.35">
      <c r="A1173" s="85">
        <v>44748</v>
      </c>
      <c r="B1173">
        <v>0.17810000000000001</v>
      </c>
    </row>
    <row r="1174" spans="1:2" x14ac:dyDescent="0.35">
      <c r="A1174" s="85">
        <v>44749</v>
      </c>
      <c r="B1174">
        <v>0.17979999999999999</v>
      </c>
    </row>
    <row r="1175" spans="1:2" x14ac:dyDescent="0.35">
      <c r="A1175" s="85">
        <v>44750</v>
      </c>
      <c r="B1175">
        <v>0.18509999999999999</v>
      </c>
    </row>
    <row r="1176" spans="1:2" x14ac:dyDescent="0.35">
      <c r="A1176" s="85">
        <v>44753</v>
      </c>
      <c r="B1176">
        <v>0.19040000000000001</v>
      </c>
    </row>
    <row r="1177" spans="1:2" x14ac:dyDescent="0.35">
      <c r="A1177" s="85">
        <v>44754</v>
      </c>
      <c r="B1177">
        <v>0.189</v>
      </c>
    </row>
    <row r="1178" spans="1:2" x14ac:dyDescent="0.35">
      <c r="A1178" s="85">
        <v>44755</v>
      </c>
      <c r="B1178">
        <v>0.187</v>
      </c>
    </row>
    <row r="1179" spans="1:2" x14ac:dyDescent="0.35">
      <c r="A1179" s="85">
        <v>44756</v>
      </c>
      <c r="B1179">
        <v>0.1913</v>
      </c>
    </row>
    <row r="1180" spans="1:2" x14ac:dyDescent="0.35">
      <c r="A1180" s="85">
        <v>44757</v>
      </c>
      <c r="B1180">
        <v>0.1898</v>
      </c>
    </row>
    <row r="1181" spans="1:2" x14ac:dyDescent="0.35">
      <c r="A1181" s="85">
        <v>44760</v>
      </c>
      <c r="B1181">
        <v>0.1915</v>
      </c>
    </row>
    <row r="1182" spans="1:2" x14ac:dyDescent="0.35">
      <c r="A1182" s="85">
        <v>44761</v>
      </c>
      <c r="B1182">
        <v>0.1888</v>
      </c>
    </row>
    <row r="1183" spans="1:2" x14ac:dyDescent="0.35">
      <c r="A1183" s="85">
        <v>44762</v>
      </c>
      <c r="B1183">
        <v>0.18679999999999999</v>
      </c>
    </row>
    <row r="1184" spans="1:2" x14ac:dyDescent="0.35">
      <c r="A1184" s="85">
        <v>44763</v>
      </c>
      <c r="B1184">
        <v>0.18340000000000001</v>
      </c>
    </row>
    <row r="1185" spans="1:2" x14ac:dyDescent="0.35">
      <c r="A1185" s="85">
        <v>44764</v>
      </c>
      <c r="B1185">
        <v>0.1789</v>
      </c>
    </row>
    <row r="1186" spans="1:2" x14ac:dyDescent="0.35">
      <c r="A1186" s="85">
        <v>44767</v>
      </c>
      <c r="B1186">
        <v>0.17480000000000001</v>
      </c>
    </row>
    <row r="1187" spans="1:2" x14ac:dyDescent="0.35">
      <c r="A1187" s="85">
        <v>44768</v>
      </c>
      <c r="B1187">
        <v>0.17449999999999999</v>
      </c>
    </row>
    <row r="1188" spans="1:2" x14ac:dyDescent="0.35">
      <c r="A1188" s="85">
        <v>44769</v>
      </c>
      <c r="B1188">
        <v>0.17399999999999999</v>
      </c>
    </row>
    <row r="1189" spans="1:2" x14ac:dyDescent="0.35">
      <c r="A1189" s="85">
        <v>44770</v>
      </c>
      <c r="B1189">
        <v>0.17730000000000001</v>
      </c>
    </row>
    <row r="1190" spans="1:2" x14ac:dyDescent="0.35">
      <c r="A1190" s="85">
        <v>44771</v>
      </c>
      <c r="B1190">
        <v>0.17549999999999999</v>
      </c>
    </row>
    <row r="1191" spans="1:2" x14ac:dyDescent="0.35">
      <c r="A1191" s="85">
        <v>44774</v>
      </c>
      <c r="B1191">
        <v>0.1764</v>
      </c>
    </row>
    <row r="1192" spans="1:2" x14ac:dyDescent="0.35">
      <c r="A1192" s="85">
        <v>44775</v>
      </c>
      <c r="B1192">
        <v>0.1767</v>
      </c>
    </row>
    <row r="1193" spans="1:2" x14ac:dyDescent="0.35">
      <c r="A1193" s="85">
        <v>44776</v>
      </c>
      <c r="B1193">
        <v>0.1779</v>
      </c>
    </row>
    <row r="1194" spans="1:2" x14ac:dyDescent="0.35">
      <c r="A1194" s="85">
        <v>44777</v>
      </c>
      <c r="B1194">
        <v>0.17599999999999999</v>
      </c>
    </row>
    <row r="1195" spans="1:2" x14ac:dyDescent="0.35">
      <c r="A1195" s="85">
        <v>44778</v>
      </c>
      <c r="B1195">
        <v>0.17960000000000001</v>
      </c>
    </row>
    <row r="1196" spans="1:2" x14ac:dyDescent="0.35">
      <c r="A1196" s="85">
        <v>44781</v>
      </c>
      <c r="B1196">
        <v>0.17929999999999999</v>
      </c>
    </row>
    <row r="1197" spans="1:2" x14ac:dyDescent="0.35">
      <c r="A1197" s="85">
        <v>44782</v>
      </c>
      <c r="B1197">
        <v>0.1799</v>
      </c>
    </row>
    <row r="1198" spans="1:2" x14ac:dyDescent="0.35">
      <c r="A1198" s="85">
        <v>44783</v>
      </c>
      <c r="B1198">
        <v>0.18240000000000001</v>
      </c>
    </row>
    <row r="1199" spans="1:2" x14ac:dyDescent="0.35">
      <c r="A1199" s="85">
        <v>44784</v>
      </c>
      <c r="B1199">
        <v>0.185</v>
      </c>
    </row>
    <row r="1200" spans="1:2" x14ac:dyDescent="0.35">
      <c r="A1200" s="85">
        <v>44785</v>
      </c>
      <c r="B1200">
        <v>0.18629999999999999</v>
      </c>
    </row>
    <row r="1201" spans="1:2" x14ac:dyDescent="0.35">
      <c r="A1201" s="85">
        <v>44788</v>
      </c>
      <c r="B1201">
        <v>0.1855</v>
      </c>
    </row>
    <row r="1202" spans="1:2" x14ac:dyDescent="0.35">
      <c r="A1202" s="85">
        <v>44789</v>
      </c>
      <c r="B1202">
        <v>0.18279999999999999</v>
      </c>
    </row>
    <row r="1203" spans="1:2" x14ac:dyDescent="0.35">
      <c r="A1203" s="85">
        <v>44790</v>
      </c>
      <c r="B1203">
        <v>0.1825</v>
      </c>
    </row>
    <row r="1204" spans="1:2" x14ac:dyDescent="0.35">
      <c r="A1204" s="85">
        <v>44791</v>
      </c>
      <c r="B1204">
        <v>0.17780000000000001</v>
      </c>
    </row>
    <row r="1205" spans="1:2" x14ac:dyDescent="0.35">
      <c r="A1205" s="85">
        <v>44792</v>
      </c>
      <c r="B1205">
        <v>0.18060000000000001</v>
      </c>
    </row>
    <row r="1206" spans="1:2" x14ac:dyDescent="0.35">
      <c r="A1206" s="85">
        <v>44795</v>
      </c>
      <c r="B1206">
        <v>0.1792</v>
      </c>
    </row>
    <row r="1207" spans="1:2" x14ac:dyDescent="0.35">
      <c r="A1207" s="85">
        <v>44796</v>
      </c>
      <c r="B1207">
        <v>0.17929999999999999</v>
      </c>
    </row>
    <row r="1208" spans="1:2" x14ac:dyDescent="0.35">
      <c r="A1208" s="85">
        <v>44797</v>
      </c>
      <c r="B1208">
        <v>0.1804</v>
      </c>
    </row>
    <row r="1209" spans="1:2" x14ac:dyDescent="0.35">
      <c r="A1209" s="85">
        <v>44798</v>
      </c>
      <c r="B1209">
        <v>0.17910000000000001</v>
      </c>
    </row>
    <row r="1210" spans="1:2" x14ac:dyDescent="0.35">
      <c r="A1210" s="85">
        <v>44799</v>
      </c>
      <c r="B1210">
        <v>0.18459999999999999</v>
      </c>
    </row>
    <row r="1211" spans="1:2" x14ac:dyDescent="0.35">
      <c r="A1211" s="85">
        <v>44802</v>
      </c>
      <c r="B1211">
        <v>0.18410000000000001</v>
      </c>
    </row>
    <row r="1212" spans="1:2" x14ac:dyDescent="0.35">
      <c r="A1212" s="85">
        <v>44803</v>
      </c>
      <c r="B1212">
        <v>0.18140000000000001</v>
      </c>
    </row>
    <row r="1213" spans="1:2" x14ac:dyDescent="0.35">
      <c r="A1213" s="85">
        <v>44804</v>
      </c>
      <c r="B1213">
        <v>0.17899999999999999</v>
      </c>
    </row>
    <row r="1214" spans="1:2" x14ac:dyDescent="0.35">
      <c r="A1214" s="85">
        <v>44805</v>
      </c>
      <c r="B1214">
        <v>0.1802</v>
      </c>
    </row>
    <row r="1215" spans="1:2" x14ac:dyDescent="0.35">
      <c r="A1215" s="85">
        <v>44806</v>
      </c>
      <c r="B1215">
        <v>0.18140000000000001</v>
      </c>
    </row>
    <row r="1216" spans="1:2" x14ac:dyDescent="0.35">
      <c r="A1216" s="85">
        <v>44809</v>
      </c>
      <c r="B1216">
        <v>0.18140000000000001</v>
      </c>
    </row>
    <row r="1217" spans="1:2" x14ac:dyDescent="0.35">
      <c r="A1217" s="85">
        <v>44810</v>
      </c>
      <c r="B1217">
        <v>0.17979999999999999</v>
      </c>
    </row>
    <row r="1218" spans="1:2" x14ac:dyDescent="0.35">
      <c r="A1218" s="85">
        <v>44811</v>
      </c>
      <c r="B1218">
        <v>0.18090000000000001</v>
      </c>
    </row>
    <row r="1219" spans="1:2" x14ac:dyDescent="0.35">
      <c r="A1219" s="85">
        <v>44812</v>
      </c>
      <c r="B1219">
        <v>0.17910000000000001</v>
      </c>
    </row>
    <row r="1220" spans="1:2" x14ac:dyDescent="0.35">
      <c r="A1220" s="85">
        <v>44813</v>
      </c>
      <c r="B1220">
        <v>0.18229999999999999</v>
      </c>
    </row>
    <row r="1221" spans="1:2" x14ac:dyDescent="0.35">
      <c r="A1221" s="85">
        <v>44816</v>
      </c>
      <c r="B1221">
        <v>0.18379999999999999</v>
      </c>
    </row>
    <row r="1222" spans="1:2" x14ac:dyDescent="0.35">
      <c r="A1222" s="85">
        <v>44817</v>
      </c>
      <c r="B1222">
        <v>0.18379999999999999</v>
      </c>
    </row>
    <row r="1223" spans="1:2" x14ac:dyDescent="0.35">
      <c r="A1223" s="85">
        <v>44818</v>
      </c>
      <c r="B1223">
        <v>0.18290000000000001</v>
      </c>
    </row>
    <row r="1224" spans="1:2" x14ac:dyDescent="0.35">
      <c r="A1224" s="85">
        <v>44819</v>
      </c>
      <c r="B1224">
        <v>0.182</v>
      </c>
    </row>
    <row r="1225" spans="1:2" x14ac:dyDescent="0.35">
      <c r="A1225" s="85">
        <v>44820</v>
      </c>
      <c r="B1225">
        <v>0.17929999999999999</v>
      </c>
    </row>
    <row r="1226" spans="1:2" x14ac:dyDescent="0.35">
      <c r="A1226" s="85">
        <v>44823</v>
      </c>
      <c r="B1226">
        <v>0.17699999999999999</v>
      </c>
    </row>
    <row r="1227" spans="1:2" x14ac:dyDescent="0.35">
      <c r="A1227" s="85">
        <v>44824</v>
      </c>
      <c r="B1227">
        <v>0.18149999999999999</v>
      </c>
    </row>
    <row r="1228" spans="1:2" x14ac:dyDescent="0.35">
      <c r="A1228" s="85">
        <v>44825</v>
      </c>
      <c r="B1228">
        <v>0.18229999999999999</v>
      </c>
    </row>
    <row r="1229" spans="1:2" x14ac:dyDescent="0.35">
      <c r="A1229" s="85">
        <v>44826</v>
      </c>
      <c r="B1229">
        <v>0.185</v>
      </c>
    </row>
    <row r="1230" spans="1:2" x14ac:dyDescent="0.35">
      <c r="A1230" s="85">
        <v>44827</v>
      </c>
      <c r="B1230">
        <v>0.1827</v>
      </c>
    </row>
    <row r="1231" spans="1:2" x14ac:dyDescent="0.35">
      <c r="A1231" s="85">
        <v>44830</v>
      </c>
      <c r="B1231">
        <v>0.17610000000000001</v>
      </c>
    </row>
    <row r="1232" spans="1:2" x14ac:dyDescent="0.35">
      <c r="A1232" s="85">
        <v>44831</v>
      </c>
      <c r="B1232">
        <v>0.17630000000000001</v>
      </c>
    </row>
    <row r="1233" spans="1:2" x14ac:dyDescent="0.35">
      <c r="A1233" s="85">
        <v>44832</v>
      </c>
      <c r="B1233">
        <v>0.17710000000000001</v>
      </c>
    </row>
    <row r="1234" spans="1:2" x14ac:dyDescent="0.35">
      <c r="A1234" s="85">
        <v>44833</v>
      </c>
      <c r="B1234">
        <v>0.1777</v>
      </c>
    </row>
    <row r="1235" spans="1:2" x14ac:dyDescent="0.35">
      <c r="A1235" s="85">
        <v>44834</v>
      </c>
      <c r="B1235">
        <v>0.1767</v>
      </c>
    </row>
    <row r="1236" spans="1:2" x14ac:dyDescent="0.35">
      <c r="A1236" s="85">
        <v>44837</v>
      </c>
      <c r="B1236">
        <v>0.1744</v>
      </c>
    </row>
    <row r="1237" spans="1:2" x14ac:dyDescent="0.35">
      <c r="A1237" s="85">
        <v>44838</v>
      </c>
      <c r="B1237">
        <v>0.17879999999999999</v>
      </c>
    </row>
    <row r="1238" spans="1:2" x14ac:dyDescent="0.35">
      <c r="A1238" s="85">
        <v>44839</v>
      </c>
      <c r="B1238">
        <v>0.17929999999999999</v>
      </c>
    </row>
    <row r="1239" spans="1:2" x14ac:dyDescent="0.35">
      <c r="A1239" s="85">
        <v>44840</v>
      </c>
      <c r="B1239">
        <v>0.18379999999999999</v>
      </c>
    </row>
    <row r="1240" spans="1:2" x14ac:dyDescent="0.35">
      <c r="A1240" s="85">
        <v>44841</v>
      </c>
      <c r="B1240">
        <v>0.18709999999999999</v>
      </c>
    </row>
    <row r="1241" spans="1:2" x14ac:dyDescent="0.35">
      <c r="A1241" s="85">
        <v>44844</v>
      </c>
      <c r="B1241">
        <v>0.18640000000000001</v>
      </c>
    </row>
    <row r="1242" spans="1:2" x14ac:dyDescent="0.35">
      <c r="A1242" s="85">
        <v>44845</v>
      </c>
      <c r="B1242">
        <v>0.18709999999999999</v>
      </c>
    </row>
    <row r="1243" spans="1:2" x14ac:dyDescent="0.35">
      <c r="A1243" s="85">
        <v>44846</v>
      </c>
      <c r="B1243">
        <v>0.18679999999999999</v>
      </c>
    </row>
    <row r="1244" spans="1:2" x14ac:dyDescent="0.35">
      <c r="A1244" s="85">
        <v>44847</v>
      </c>
      <c r="B1244">
        <v>0.18779999999999999</v>
      </c>
    </row>
    <row r="1245" spans="1:2" x14ac:dyDescent="0.35">
      <c r="A1245" s="85">
        <v>44848</v>
      </c>
      <c r="B1245">
        <v>0.18809999999999999</v>
      </c>
    </row>
    <row r="1246" spans="1:2" x14ac:dyDescent="0.35">
      <c r="A1246" s="85">
        <v>44851</v>
      </c>
      <c r="B1246">
        <v>0.18729999999999999</v>
      </c>
    </row>
    <row r="1247" spans="1:2" x14ac:dyDescent="0.35">
      <c r="A1247" s="85">
        <v>44852</v>
      </c>
      <c r="B1247">
        <v>0.187</v>
      </c>
    </row>
    <row r="1248" spans="1:2" x14ac:dyDescent="0.35">
      <c r="A1248" s="85">
        <v>44853</v>
      </c>
      <c r="B1248">
        <v>0.18609999999999999</v>
      </c>
    </row>
    <row r="1249" spans="1:2" x14ac:dyDescent="0.35">
      <c r="A1249" s="85">
        <v>44854</v>
      </c>
      <c r="B1249">
        <v>0.184</v>
      </c>
    </row>
    <row r="1250" spans="1:2" x14ac:dyDescent="0.35">
      <c r="A1250" s="85">
        <v>44855</v>
      </c>
      <c r="B1250">
        <v>0.18379999999999999</v>
      </c>
    </row>
    <row r="1251" spans="1:2" x14ac:dyDescent="0.35">
      <c r="A1251" s="85">
        <v>44858</v>
      </c>
      <c r="B1251">
        <v>0.1812</v>
      </c>
    </row>
    <row r="1252" spans="1:2" x14ac:dyDescent="0.35">
      <c r="A1252" s="85">
        <v>44859</v>
      </c>
      <c r="B1252">
        <v>0.18099999999999999</v>
      </c>
    </row>
    <row r="1253" spans="1:2" x14ac:dyDescent="0.35">
      <c r="A1253" s="85">
        <v>44860</v>
      </c>
      <c r="B1253">
        <v>0.17860000000000001</v>
      </c>
    </row>
    <row r="1254" spans="1:2" x14ac:dyDescent="0.35">
      <c r="A1254" s="85">
        <v>44861</v>
      </c>
      <c r="B1254">
        <v>0.17710000000000001</v>
      </c>
    </row>
    <row r="1255" spans="1:2" x14ac:dyDescent="0.35">
      <c r="A1255" s="85">
        <v>44862</v>
      </c>
      <c r="B1255">
        <v>0.1762</v>
      </c>
    </row>
    <row r="1256" spans="1:2" x14ac:dyDescent="0.35">
      <c r="A1256" s="85">
        <v>44865</v>
      </c>
      <c r="B1256">
        <v>0.1799</v>
      </c>
    </row>
    <row r="1257" spans="1:2" x14ac:dyDescent="0.35">
      <c r="A1257" s="85">
        <v>44866</v>
      </c>
      <c r="B1257">
        <v>0.1837</v>
      </c>
    </row>
    <row r="1258" spans="1:2" x14ac:dyDescent="0.35">
      <c r="A1258" s="85">
        <v>44867</v>
      </c>
      <c r="B1258">
        <v>0.18479999999999999</v>
      </c>
    </row>
    <row r="1259" spans="1:2" x14ac:dyDescent="0.35">
      <c r="A1259" s="85">
        <v>44868</v>
      </c>
      <c r="B1259">
        <v>0.18479999999999999</v>
      </c>
    </row>
    <row r="1260" spans="1:2" x14ac:dyDescent="0.35">
      <c r="A1260" s="85">
        <v>44869</v>
      </c>
      <c r="B1260">
        <v>0.18679999999999999</v>
      </c>
    </row>
    <row r="1261" spans="1:2" x14ac:dyDescent="0.35">
      <c r="A1261" s="85">
        <v>44872</v>
      </c>
      <c r="B1261">
        <v>0.1867</v>
      </c>
    </row>
    <row r="1262" spans="1:2" x14ac:dyDescent="0.35">
      <c r="A1262" s="85">
        <v>44873</v>
      </c>
      <c r="B1262">
        <v>0.19020000000000001</v>
      </c>
    </row>
    <row r="1263" spans="1:2" x14ac:dyDescent="0.35">
      <c r="A1263" s="85">
        <v>44874</v>
      </c>
      <c r="B1263">
        <v>0.193</v>
      </c>
    </row>
    <row r="1264" spans="1:2" x14ac:dyDescent="0.35">
      <c r="A1264" s="85">
        <v>44875</v>
      </c>
      <c r="B1264">
        <v>0.19389999999999999</v>
      </c>
    </row>
    <row r="1265" spans="1:2" x14ac:dyDescent="0.35">
      <c r="A1265" s="85">
        <v>44876</v>
      </c>
      <c r="B1265">
        <v>0.1961</v>
      </c>
    </row>
    <row r="1266" spans="1:2" x14ac:dyDescent="0.35">
      <c r="A1266" s="85">
        <v>44879</v>
      </c>
      <c r="B1266">
        <v>0.19819999999999999</v>
      </c>
    </row>
    <row r="1267" spans="1:2" x14ac:dyDescent="0.35">
      <c r="A1267" s="85">
        <v>44880</v>
      </c>
      <c r="B1267">
        <v>0.2031</v>
      </c>
    </row>
    <row r="1268" spans="1:2" x14ac:dyDescent="0.35">
      <c r="A1268" s="85">
        <v>44881</v>
      </c>
      <c r="B1268">
        <v>0.2026</v>
      </c>
    </row>
    <row r="1269" spans="1:2" x14ac:dyDescent="0.35">
      <c r="A1269" s="85">
        <v>44882</v>
      </c>
      <c r="B1269">
        <v>0.19719999999999999</v>
      </c>
    </row>
    <row r="1270" spans="1:2" x14ac:dyDescent="0.35">
      <c r="A1270" s="85">
        <v>44883</v>
      </c>
      <c r="B1270">
        <v>0.20069999999999999</v>
      </c>
    </row>
    <row r="1271" spans="1:2" x14ac:dyDescent="0.35">
      <c r="A1271" s="85">
        <v>44886</v>
      </c>
      <c r="B1271">
        <v>0.19889999999999999</v>
      </c>
    </row>
    <row r="1272" spans="1:2" x14ac:dyDescent="0.35">
      <c r="A1272" s="85">
        <v>44887</v>
      </c>
      <c r="B1272">
        <v>0.19750000000000001</v>
      </c>
    </row>
    <row r="1273" spans="1:2" x14ac:dyDescent="0.35">
      <c r="A1273" s="85">
        <v>44888</v>
      </c>
      <c r="B1273">
        <v>0.19550000000000001</v>
      </c>
    </row>
    <row r="1274" spans="1:2" x14ac:dyDescent="0.35">
      <c r="A1274" s="85">
        <v>44889</v>
      </c>
      <c r="B1274">
        <v>0.19550000000000001</v>
      </c>
    </row>
    <row r="1275" spans="1:2" x14ac:dyDescent="0.35">
      <c r="A1275" s="85">
        <v>44890</v>
      </c>
      <c r="B1275">
        <v>0.19309999999999999</v>
      </c>
    </row>
    <row r="1276" spans="1:2" x14ac:dyDescent="0.35">
      <c r="A1276" s="85">
        <v>44893</v>
      </c>
      <c r="B1276">
        <v>0.19439999999999999</v>
      </c>
    </row>
    <row r="1277" spans="1:2" x14ac:dyDescent="0.35">
      <c r="A1277" s="85">
        <v>44894</v>
      </c>
      <c r="B1277">
        <v>0.1951</v>
      </c>
    </row>
    <row r="1278" spans="1:2" x14ac:dyDescent="0.35">
      <c r="A1278" s="85">
        <v>44895</v>
      </c>
      <c r="B1278">
        <v>0.19600000000000001</v>
      </c>
    </row>
    <row r="1279" spans="1:2" x14ac:dyDescent="0.35">
      <c r="A1279" s="85">
        <v>44896</v>
      </c>
      <c r="B1279">
        <v>0.19620000000000001</v>
      </c>
    </row>
    <row r="1280" spans="1:2" x14ac:dyDescent="0.35">
      <c r="A1280" s="85">
        <v>44897</v>
      </c>
      <c r="B1280">
        <v>0.19489999999999999</v>
      </c>
    </row>
    <row r="1281" spans="1:2" x14ac:dyDescent="0.35">
      <c r="A1281" s="85">
        <v>44900</v>
      </c>
      <c r="B1281">
        <v>0.19570000000000001</v>
      </c>
    </row>
    <row r="1282" spans="1:2" x14ac:dyDescent="0.35">
      <c r="A1282" s="85">
        <v>44901</v>
      </c>
      <c r="B1282">
        <v>0.1938</v>
      </c>
    </row>
    <row r="1283" spans="1:2" x14ac:dyDescent="0.35">
      <c r="A1283" s="85">
        <v>44902</v>
      </c>
      <c r="B1283">
        <v>0.19489999999999999</v>
      </c>
    </row>
    <row r="1284" spans="1:2" x14ac:dyDescent="0.35">
      <c r="A1284" s="85">
        <v>44903</v>
      </c>
      <c r="B1284">
        <v>0.19689999999999999</v>
      </c>
    </row>
    <row r="1285" spans="1:2" x14ac:dyDescent="0.35">
      <c r="A1285" s="85">
        <v>44904</v>
      </c>
      <c r="B1285">
        <v>0.1961</v>
      </c>
    </row>
    <row r="1286" spans="1:2" x14ac:dyDescent="0.35">
      <c r="A1286" s="85">
        <v>44907</v>
      </c>
      <c r="B1286">
        <v>0.19370000000000001</v>
      </c>
    </row>
    <row r="1287" spans="1:2" x14ac:dyDescent="0.35">
      <c r="A1287" s="85">
        <v>44908</v>
      </c>
      <c r="B1287">
        <v>0.1971</v>
      </c>
    </row>
    <row r="1288" spans="1:2" x14ac:dyDescent="0.35">
      <c r="A1288" s="85">
        <v>44909</v>
      </c>
      <c r="B1288">
        <v>0.20319999999999999</v>
      </c>
    </row>
    <row r="1289" spans="1:2" x14ac:dyDescent="0.35">
      <c r="A1289" s="85">
        <v>44910</v>
      </c>
      <c r="B1289">
        <v>0.19919999999999999</v>
      </c>
    </row>
    <row r="1290" spans="1:2" x14ac:dyDescent="0.35">
      <c r="A1290" s="85">
        <v>44911</v>
      </c>
      <c r="B1290">
        <v>0.20119999999999999</v>
      </c>
    </row>
    <row r="1291" spans="1:2" x14ac:dyDescent="0.35">
      <c r="A1291" s="85">
        <v>44914</v>
      </c>
      <c r="B1291">
        <v>0.2019</v>
      </c>
    </row>
    <row r="1292" spans="1:2" x14ac:dyDescent="0.35">
      <c r="A1292" s="85">
        <v>44915</v>
      </c>
      <c r="B1292">
        <v>0.20619999999999999</v>
      </c>
    </row>
    <row r="1293" spans="1:2" x14ac:dyDescent="0.35">
      <c r="A1293" s="85">
        <v>44916</v>
      </c>
      <c r="B1293">
        <v>0.20749999999999999</v>
      </c>
    </row>
    <row r="1294" spans="1:2" x14ac:dyDescent="0.35">
      <c r="A1294" s="85">
        <v>44917</v>
      </c>
      <c r="B1294">
        <v>0.20910000000000001</v>
      </c>
    </row>
    <row r="1295" spans="1:2" x14ac:dyDescent="0.35">
      <c r="A1295" s="85">
        <v>44918</v>
      </c>
      <c r="B1295">
        <v>0.20979999999999999</v>
      </c>
    </row>
    <row r="1296" spans="1:2" x14ac:dyDescent="0.35">
      <c r="A1296" s="85">
        <v>44921</v>
      </c>
      <c r="B1296">
        <v>0.20979999999999999</v>
      </c>
    </row>
    <row r="1297" spans="1:2" x14ac:dyDescent="0.35">
      <c r="A1297" s="85">
        <v>44922</v>
      </c>
      <c r="B1297">
        <v>0.20269999999999999</v>
      </c>
    </row>
    <row r="1298" spans="1:2" x14ac:dyDescent="0.35">
      <c r="A1298" s="85">
        <v>44923</v>
      </c>
      <c r="B1298">
        <v>0.20150000000000001</v>
      </c>
    </row>
    <row r="1299" spans="1:2" x14ac:dyDescent="0.35">
      <c r="A1299" s="85">
        <v>44924</v>
      </c>
      <c r="B1299">
        <v>0.2031</v>
      </c>
    </row>
    <row r="1300" spans="1:2" x14ac:dyDescent="0.35">
      <c r="A1300" s="85">
        <v>44925</v>
      </c>
      <c r="B1300">
        <v>0.20050000000000001</v>
      </c>
    </row>
    <row r="1301" spans="1:2" x14ac:dyDescent="0.35">
      <c r="A1301" s="85">
        <v>44928</v>
      </c>
      <c r="B1301">
        <v>0.20050000000000001</v>
      </c>
    </row>
    <row r="1302" spans="1:2" x14ac:dyDescent="0.35">
      <c r="A1302" s="85">
        <v>44929</v>
      </c>
      <c r="B1302">
        <v>0.19719999999999999</v>
      </c>
    </row>
    <row r="1303" spans="1:2" x14ac:dyDescent="0.35">
      <c r="A1303" s="85">
        <v>44930</v>
      </c>
      <c r="B1303">
        <v>0.1968</v>
      </c>
    </row>
    <row r="1304" spans="1:2" x14ac:dyDescent="0.35">
      <c r="A1304" s="85">
        <v>44931</v>
      </c>
      <c r="B1304">
        <v>0.1968</v>
      </c>
    </row>
    <row r="1305" spans="1:2" x14ac:dyDescent="0.35">
      <c r="A1305" s="85">
        <v>44932</v>
      </c>
      <c r="B1305">
        <v>0.1968</v>
      </c>
    </row>
    <row r="1306" spans="1:2" x14ac:dyDescent="0.35">
      <c r="A1306" s="85">
        <v>44935</v>
      </c>
      <c r="B1306">
        <v>0.1966</v>
      </c>
    </row>
    <row r="1307" spans="1:2" x14ac:dyDescent="0.35">
      <c r="A1307" s="85">
        <v>44936</v>
      </c>
      <c r="B1307">
        <v>0.1966</v>
      </c>
    </row>
    <row r="1308" spans="1:2" x14ac:dyDescent="0.35">
      <c r="A1308" s="85">
        <v>44937</v>
      </c>
      <c r="B1308">
        <v>0.1968</v>
      </c>
    </row>
    <row r="1309" spans="1:2" x14ac:dyDescent="0.35">
      <c r="A1309" s="85">
        <v>44938</v>
      </c>
      <c r="B1309">
        <v>0.1968</v>
      </c>
    </row>
    <row r="1310" spans="1:2" x14ac:dyDescent="0.35">
      <c r="A1310" s="85">
        <v>44939</v>
      </c>
      <c r="B1310">
        <v>0.1968</v>
      </c>
    </row>
    <row r="1311" spans="1:2" x14ac:dyDescent="0.35">
      <c r="A1311" s="85">
        <v>44942</v>
      </c>
      <c r="B1311">
        <v>0.1968</v>
      </c>
    </row>
    <row r="1312" spans="1:2" x14ac:dyDescent="0.35">
      <c r="A1312" s="85">
        <v>44943</v>
      </c>
      <c r="B1312">
        <v>0.1966</v>
      </c>
    </row>
    <row r="1313" spans="1:2" x14ac:dyDescent="0.35">
      <c r="A1313" s="85">
        <v>44944</v>
      </c>
      <c r="B1313">
        <v>0.1966</v>
      </c>
    </row>
    <row r="1314" spans="1:2" x14ac:dyDescent="0.35">
      <c r="A1314" s="85">
        <v>44945</v>
      </c>
      <c r="B1314">
        <v>0.1966</v>
      </c>
    </row>
    <row r="1315" spans="1:2" x14ac:dyDescent="0.35">
      <c r="A1315" s="85">
        <v>44946</v>
      </c>
      <c r="B1315">
        <v>0.1968</v>
      </c>
    </row>
    <row r="1316" spans="1:2" x14ac:dyDescent="0.35">
      <c r="A1316" s="85">
        <v>44949</v>
      </c>
      <c r="B1316">
        <v>0.1968</v>
      </c>
    </row>
    <row r="1317" spans="1:2" x14ac:dyDescent="0.35">
      <c r="A1317" s="85">
        <v>44950</v>
      </c>
      <c r="B1317">
        <v>0.1986</v>
      </c>
    </row>
    <row r="1318" spans="1:2" x14ac:dyDescent="0.35">
      <c r="A1318" s="85">
        <v>44951</v>
      </c>
      <c r="B1318">
        <v>0.20069999999999999</v>
      </c>
    </row>
    <row r="1319" spans="1:2" x14ac:dyDescent="0.35">
      <c r="A1319" s="85">
        <v>44952</v>
      </c>
      <c r="B1319">
        <v>0.20730000000000001</v>
      </c>
    </row>
    <row r="1320" spans="1:2" x14ac:dyDescent="0.35">
      <c r="A1320" s="85">
        <v>44953</v>
      </c>
      <c r="B1320">
        <v>0.20730000000000001</v>
      </c>
    </row>
    <row r="1321" spans="1:2" x14ac:dyDescent="0.35">
      <c r="A1321" s="85">
        <v>44956</v>
      </c>
      <c r="B1321">
        <v>0.21199999999999999</v>
      </c>
    </row>
    <row r="1322" spans="1:2" x14ac:dyDescent="0.35">
      <c r="A1322" s="85">
        <v>44957</v>
      </c>
      <c r="B1322">
        <v>0.21779999999999999</v>
      </c>
    </row>
    <row r="1323" spans="1:2" x14ac:dyDescent="0.35">
      <c r="A1323" s="85">
        <v>44958</v>
      </c>
      <c r="B1323">
        <v>0.21360000000000001</v>
      </c>
    </row>
    <row r="1324" spans="1:2" x14ac:dyDescent="0.35">
      <c r="A1324" s="85">
        <v>44959</v>
      </c>
      <c r="B1324">
        <v>0.21679999999999999</v>
      </c>
    </row>
    <row r="1325" spans="1:2" x14ac:dyDescent="0.35">
      <c r="A1325" s="85">
        <v>44960</v>
      </c>
      <c r="B1325">
        <v>0.21299999999999999</v>
      </c>
    </row>
    <row r="1326" spans="1:2" x14ac:dyDescent="0.35">
      <c r="A1326" s="85">
        <v>44963</v>
      </c>
      <c r="B1326">
        <v>0.20649999999999999</v>
      </c>
    </row>
    <row r="1327" spans="1:2" x14ac:dyDescent="0.35">
      <c r="A1327" s="85">
        <v>44964</v>
      </c>
      <c r="B1327">
        <v>0.2087</v>
      </c>
    </row>
    <row r="1328" spans="1:2" x14ac:dyDescent="0.35">
      <c r="A1328" s="85">
        <v>44965</v>
      </c>
      <c r="B1328">
        <v>0.2117</v>
      </c>
    </row>
    <row r="1329" spans="1:2" x14ac:dyDescent="0.35">
      <c r="A1329" s="85">
        <v>44966</v>
      </c>
      <c r="B1329">
        <v>0.21460000000000001</v>
      </c>
    </row>
    <row r="1330" spans="1:2" x14ac:dyDescent="0.35">
      <c r="A1330" s="85">
        <v>44967</v>
      </c>
      <c r="B1330">
        <v>0.21529999999999999</v>
      </c>
    </row>
    <row r="1331" spans="1:2" x14ac:dyDescent="0.35">
      <c r="A1331" s="85">
        <v>44970</v>
      </c>
      <c r="B1331">
        <v>0.2127</v>
      </c>
    </row>
    <row r="1332" spans="1:2" x14ac:dyDescent="0.35">
      <c r="A1332" s="85">
        <v>44971</v>
      </c>
      <c r="B1332">
        <v>0.215</v>
      </c>
    </row>
    <row r="1333" spans="1:2" x14ac:dyDescent="0.35">
      <c r="A1333" s="85">
        <v>44972</v>
      </c>
      <c r="B1333">
        <v>0.21340000000000001</v>
      </c>
    </row>
    <row r="1334" spans="1:2" x14ac:dyDescent="0.35">
      <c r="A1334" s="85">
        <v>44973</v>
      </c>
      <c r="B1334">
        <v>0.21460000000000001</v>
      </c>
    </row>
    <row r="1335" spans="1:2" x14ac:dyDescent="0.35">
      <c r="A1335" s="85">
        <v>44974</v>
      </c>
      <c r="B1335">
        <v>0.214</v>
      </c>
    </row>
    <row r="1336" spans="1:2" x14ac:dyDescent="0.35">
      <c r="A1336" s="85">
        <v>44977</v>
      </c>
      <c r="B1336">
        <v>0.214</v>
      </c>
    </row>
    <row r="1337" spans="1:2" x14ac:dyDescent="0.35">
      <c r="A1337" s="85">
        <v>44978</v>
      </c>
      <c r="B1337">
        <v>0.2137</v>
      </c>
    </row>
    <row r="1338" spans="1:2" x14ac:dyDescent="0.35">
      <c r="A1338" s="85">
        <v>44979</v>
      </c>
      <c r="B1338">
        <v>0.21290000000000001</v>
      </c>
    </row>
    <row r="1339" spans="1:2" x14ac:dyDescent="0.35">
      <c r="A1339" s="85">
        <v>44980</v>
      </c>
      <c r="B1339">
        <v>0.2165</v>
      </c>
    </row>
    <row r="1340" spans="1:2" x14ac:dyDescent="0.35">
      <c r="A1340" s="85">
        <v>44981</v>
      </c>
      <c r="B1340">
        <v>0.2132</v>
      </c>
    </row>
    <row r="1341" spans="1:2" x14ac:dyDescent="0.35">
      <c r="A1341" s="85">
        <v>44984</v>
      </c>
      <c r="B1341">
        <v>0.2026</v>
      </c>
    </row>
    <row r="1342" spans="1:2" x14ac:dyDescent="0.35">
      <c r="A1342" s="85">
        <v>44985</v>
      </c>
      <c r="B1342">
        <v>0.2001</v>
      </c>
    </row>
    <row r="1343" spans="1:2" x14ac:dyDescent="0.35">
      <c r="A1343" s="85">
        <v>44986</v>
      </c>
      <c r="B1343">
        <v>0.2056</v>
      </c>
    </row>
    <row r="1344" spans="1:2" x14ac:dyDescent="0.35">
      <c r="A1344" s="85">
        <v>44987</v>
      </c>
      <c r="B1344">
        <v>0.2029</v>
      </c>
    </row>
    <row r="1345" spans="1:2" x14ac:dyDescent="0.35">
      <c r="A1345" s="85">
        <v>44988</v>
      </c>
      <c r="B1345">
        <v>0.20910000000000001</v>
      </c>
    </row>
    <row r="1346" spans="1:2" x14ac:dyDescent="0.35">
      <c r="A1346" s="85">
        <v>44991</v>
      </c>
      <c r="B1346">
        <v>0.20880000000000001</v>
      </c>
    </row>
    <row r="1347" spans="1:2" x14ac:dyDescent="0.35">
      <c r="A1347" s="85">
        <v>44992</v>
      </c>
      <c r="B1347">
        <v>0.21029999999999999</v>
      </c>
    </row>
    <row r="1348" spans="1:2" x14ac:dyDescent="0.35">
      <c r="A1348" s="85">
        <v>44993</v>
      </c>
      <c r="B1348">
        <v>0.20860000000000001</v>
      </c>
    </row>
    <row r="1349" spans="1:2" x14ac:dyDescent="0.35">
      <c r="A1349" s="85">
        <v>44994</v>
      </c>
      <c r="B1349">
        <v>0.21129999999999999</v>
      </c>
    </row>
    <row r="1350" spans="1:2" x14ac:dyDescent="0.35">
      <c r="A1350" s="85">
        <v>44995</v>
      </c>
      <c r="B1350">
        <v>0.21160000000000001</v>
      </c>
    </row>
    <row r="1351" spans="1:2" x14ac:dyDescent="0.35">
      <c r="A1351" s="85">
        <v>44998</v>
      </c>
      <c r="B1351">
        <v>0.20860000000000001</v>
      </c>
    </row>
    <row r="1352" spans="1:2" x14ac:dyDescent="0.35">
      <c r="A1352" s="85">
        <v>44999</v>
      </c>
      <c r="B1352">
        <v>0.20660000000000001</v>
      </c>
    </row>
    <row r="1353" spans="1:2" x14ac:dyDescent="0.35">
      <c r="A1353" s="85">
        <v>45000</v>
      </c>
      <c r="B1353">
        <v>0.20519999999999999</v>
      </c>
    </row>
    <row r="1354" spans="1:2" x14ac:dyDescent="0.35">
      <c r="A1354" s="85">
        <v>45001</v>
      </c>
      <c r="B1354">
        <v>0.20749999999999999</v>
      </c>
    </row>
    <row r="1355" spans="1:2" x14ac:dyDescent="0.35">
      <c r="A1355" s="85">
        <v>45002</v>
      </c>
      <c r="B1355">
        <v>0.20680000000000001</v>
      </c>
    </row>
    <row r="1356" spans="1:2" x14ac:dyDescent="0.35">
      <c r="A1356" s="85">
        <v>45005</v>
      </c>
      <c r="B1356">
        <v>0.2051</v>
      </c>
    </row>
    <row r="1357" spans="1:2" x14ac:dyDescent="0.35">
      <c r="A1357" s="85">
        <v>45006</v>
      </c>
      <c r="B1357">
        <v>0.20799999999999999</v>
      </c>
    </row>
    <row r="1358" spans="1:2" x14ac:dyDescent="0.35">
      <c r="A1358" s="85">
        <v>45007</v>
      </c>
      <c r="B1358">
        <v>0.21160000000000001</v>
      </c>
    </row>
    <row r="1359" spans="1:2" x14ac:dyDescent="0.35">
      <c r="A1359" s="85">
        <v>45008</v>
      </c>
      <c r="B1359">
        <v>0.20960000000000001</v>
      </c>
    </row>
    <row r="1360" spans="1:2" x14ac:dyDescent="0.35">
      <c r="A1360" s="85">
        <v>45009</v>
      </c>
      <c r="B1360">
        <v>0.2084</v>
      </c>
    </row>
    <row r="1361" spans="1:2" x14ac:dyDescent="0.35">
      <c r="A1361" s="85">
        <v>45012</v>
      </c>
      <c r="B1361">
        <v>0.2099</v>
      </c>
    </row>
    <row r="1362" spans="1:2" x14ac:dyDescent="0.35">
      <c r="A1362" s="85">
        <v>45013</v>
      </c>
      <c r="B1362">
        <v>0.2137</v>
      </c>
    </row>
    <row r="1363" spans="1:2" x14ac:dyDescent="0.35">
      <c r="A1363" s="85">
        <v>45014</v>
      </c>
      <c r="B1363">
        <v>0.21249999999999999</v>
      </c>
    </row>
    <row r="1364" spans="1:2" x14ac:dyDescent="0.35">
      <c r="A1364" s="85">
        <v>45015</v>
      </c>
      <c r="B1364">
        <v>0.21959999999999999</v>
      </c>
    </row>
    <row r="1365" spans="1:2" x14ac:dyDescent="0.35">
      <c r="A1365" s="85">
        <v>45016</v>
      </c>
      <c r="B1365">
        <v>0.223</v>
      </c>
    </row>
    <row r="1366" spans="1:2" x14ac:dyDescent="0.35">
      <c r="A1366" s="85">
        <v>45019</v>
      </c>
      <c r="B1366">
        <v>0.224</v>
      </c>
    </row>
    <row r="1367" spans="1:2" x14ac:dyDescent="0.35">
      <c r="A1367" s="85">
        <v>45020</v>
      </c>
      <c r="B1367">
        <v>0.22470000000000001</v>
      </c>
    </row>
    <row r="1368" spans="1:2" x14ac:dyDescent="0.35">
      <c r="A1368" s="85">
        <v>45021</v>
      </c>
      <c r="B1368">
        <v>0.22950000000000001</v>
      </c>
    </row>
    <row r="1369" spans="1:2" x14ac:dyDescent="0.35">
      <c r="A1369" s="85">
        <v>45022</v>
      </c>
      <c r="B1369">
        <v>0.23630000000000001</v>
      </c>
    </row>
    <row r="1370" spans="1:2" x14ac:dyDescent="0.35">
      <c r="A1370" s="85">
        <v>45023</v>
      </c>
      <c r="B1370">
        <v>0.23630000000000001</v>
      </c>
    </row>
    <row r="1371" spans="1:2" x14ac:dyDescent="0.35">
      <c r="A1371" s="85">
        <v>45026</v>
      </c>
      <c r="B1371">
        <v>0.2356</v>
      </c>
    </row>
    <row r="1372" spans="1:2" x14ac:dyDescent="0.35">
      <c r="A1372" s="85">
        <v>45027</v>
      </c>
      <c r="B1372">
        <v>0.2437</v>
      </c>
    </row>
    <row r="1373" spans="1:2" x14ac:dyDescent="0.35">
      <c r="A1373" s="85">
        <v>45028</v>
      </c>
      <c r="B1373">
        <v>0.24049999999999999</v>
      </c>
    </row>
    <row r="1374" spans="1:2" x14ac:dyDescent="0.35">
      <c r="A1374" s="85">
        <v>45029</v>
      </c>
      <c r="B1374">
        <v>0.2404</v>
      </c>
    </row>
    <row r="1375" spans="1:2" x14ac:dyDescent="0.35">
      <c r="A1375" s="85">
        <v>45030</v>
      </c>
      <c r="B1375">
        <v>0.24129999999999999</v>
      </c>
    </row>
    <row r="1376" spans="1:2" x14ac:dyDescent="0.35">
      <c r="A1376" s="85">
        <v>45033</v>
      </c>
      <c r="B1376">
        <v>0.24440000000000001</v>
      </c>
    </row>
    <row r="1377" spans="1:2" x14ac:dyDescent="0.35">
      <c r="A1377" s="85">
        <v>45034</v>
      </c>
      <c r="B1377">
        <v>0.24540000000000001</v>
      </c>
    </row>
    <row r="1378" spans="1:2" x14ac:dyDescent="0.35">
      <c r="A1378" s="85">
        <v>45035</v>
      </c>
      <c r="B1378">
        <v>0.2437</v>
      </c>
    </row>
    <row r="1379" spans="1:2" x14ac:dyDescent="0.35">
      <c r="A1379" s="85">
        <v>45036</v>
      </c>
      <c r="B1379">
        <v>0.2525</v>
      </c>
    </row>
    <row r="1380" spans="1:2" x14ac:dyDescent="0.35">
      <c r="A1380" s="85">
        <v>45037</v>
      </c>
      <c r="B1380">
        <v>0.24829999999999999</v>
      </c>
    </row>
    <row r="1381" spans="1:2" x14ac:dyDescent="0.35">
      <c r="A1381" s="85">
        <v>45040</v>
      </c>
      <c r="B1381">
        <v>0.2591</v>
      </c>
    </row>
    <row r="1382" spans="1:2" x14ac:dyDescent="0.35">
      <c r="A1382" s="85">
        <v>45041</v>
      </c>
      <c r="B1382">
        <v>0.26740000000000003</v>
      </c>
    </row>
    <row r="1383" spans="1:2" x14ac:dyDescent="0.35">
      <c r="A1383" s="85">
        <v>45042</v>
      </c>
      <c r="B1383">
        <v>0.2651</v>
      </c>
    </row>
    <row r="1384" spans="1:2" x14ac:dyDescent="0.35">
      <c r="A1384" s="85">
        <v>45043</v>
      </c>
      <c r="B1384">
        <v>0.26989999999999997</v>
      </c>
    </row>
    <row r="1385" spans="1:2" x14ac:dyDescent="0.35">
      <c r="A1385" s="85">
        <v>45044</v>
      </c>
      <c r="B1385">
        <v>0.26369999999999999</v>
      </c>
    </row>
    <row r="1386" spans="1:2" x14ac:dyDescent="0.35">
      <c r="A1386" s="85">
        <v>45047</v>
      </c>
      <c r="B1386">
        <v>0.25540000000000002</v>
      </c>
    </row>
    <row r="1387" spans="1:2" x14ac:dyDescent="0.35">
      <c r="A1387" s="85">
        <v>45048</v>
      </c>
      <c r="B1387">
        <v>0.25140000000000001</v>
      </c>
    </row>
    <row r="1388" spans="1:2" x14ac:dyDescent="0.35">
      <c r="A1388" s="85">
        <v>45049</v>
      </c>
      <c r="B1388">
        <v>0.25169999999999998</v>
      </c>
    </row>
    <row r="1389" spans="1:2" x14ac:dyDescent="0.35">
      <c r="A1389" s="85">
        <v>45050</v>
      </c>
      <c r="B1389">
        <v>0.25519999999999998</v>
      </c>
    </row>
    <row r="1390" spans="1:2" x14ac:dyDescent="0.35">
      <c r="A1390" s="85">
        <v>45051</v>
      </c>
      <c r="B1390">
        <v>0.26440000000000002</v>
      </c>
    </row>
    <row r="1391" spans="1:2" x14ac:dyDescent="0.35">
      <c r="A1391" s="85">
        <v>45054</v>
      </c>
      <c r="B1391">
        <v>0.26090000000000002</v>
      </c>
    </row>
    <row r="1392" spans="1:2" x14ac:dyDescent="0.35">
      <c r="A1392" s="85">
        <v>45055</v>
      </c>
      <c r="B1392">
        <v>0.26190000000000002</v>
      </c>
    </row>
    <row r="1393" spans="1:2" x14ac:dyDescent="0.35">
      <c r="A1393" s="85">
        <v>45056</v>
      </c>
      <c r="B1393">
        <v>0.2666</v>
      </c>
    </row>
    <row r="1394" spans="1:2" x14ac:dyDescent="0.35">
      <c r="A1394" s="85">
        <v>45057</v>
      </c>
      <c r="B1394">
        <v>0.26019999999999999</v>
      </c>
    </row>
    <row r="1395" spans="1:2" x14ac:dyDescent="0.35">
      <c r="A1395" s="85">
        <v>45058</v>
      </c>
      <c r="B1395">
        <v>0.26200000000000001</v>
      </c>
    </row>
    <row r="1396" spans="1:2" x14ac:dyDescent="0.35">
      <c r="A1396" s="85">
        <v>45061</v>
      </c>
      <c r="B1396">
        <v>0.26290000000000002</v>
      </c>
    </row>
    <row r="1397" spans="1:2" x14ac:dyDescent="0.35">
      <c r="A1397" s="85">
        <v>45062</v>
      </c>
      <c r="B1397">
        <v>0.26069999999999999</v>
      </c>
    </row>
    <row r="1398" spans="1:2" x14ac:dyDescent="0.35">
      <c r="A1398" s="85">
        <v>45063</v>
      </c>
      <c r="B1398">
        <v>0.2591</v>
      </c>
    </row>
    <row r="1399" spans="1:2" x14ac:dyDescent="0.35">
      <c r="A1399" s="85">
        <v>45064</v>
      </c>
      <c r="B1399">
        <v>0.25609999999999999</v>
      </c>
    </row>
    <row r="1400" spans="1:2" x14ac:dyDescent="0.35">
      <c r="A1400" s="85">
        <v>45065</v>
      </c>
      <c r="B1400">
        <v>0.25800000000000001</v>
      </c>
    </row>
    <row r="1401" spans="1:2" x14ac:dyDescent="0.35">
      <c r="A1401" s="85">
        <v>45068</v>
      </c>
      <c r="B1401">
        <v>0.25990000000000002</v>
      </c>
    </row>
    <row r="1402" spans="1:2" x14ac:dyDescent="0.35">
      <c r="A1402" s="85">
        <v>45069</v>
      </c>
      <c r="B1402">
        <v>0.2581</v>
      </c>
    </row>
    <row r="1403" spans="1:2" x14ac:dyDescent="0.35">
      <c r="A1403" s="85">
        <v>45070</v>
      </c>
      <c r="B1403">
        <v>0.25490000000000002</v>
      </c>
    </row>
    <row r="1404" spans="1:2" x14ac:dyDescent="0.35">
      <c r="A1404" s="85">
        <v>45071</v>
      </c>
      <c r="B1404">
        <v>0.24829999999999999</v>
      </c>
    </row>
    <row r="1405" spans="1:2" x14ac:dyDescent="0.35">
      <c r="A1405" s="85">
        <v>45072</v>
      </c>
      <c r="B1405">
        <v>0.25409999999999999</v>
      </c>
    </row>
    <row r="1406" spans="1:2" x14ac:dyDescent="0.35">
      <c r="A1406" s="85">
        <v>45075</v>
      </c>
      <c r="B1406">
        <v>0.25369999999999998</v>
      </c>
    </row>
    <row r="1407" spans="1:2" x14ac:dyDescent="0.35">
      <c r="A1407" s="85">
        <v>45076</v>
      </c>
      <c r="B1407">
        <v>0.25330000000000003</v>
      </c>
    </row>
    <row r="1408" spans="1:2" x14ac:dyDescent="0.35">
      <c r="A1408" s="85">
        <v>45077</v>
      </c>
      <c r="B1408">
        <v>0.25059999999999999</v>
      </c>
    </row>
    <row r="1409" spans="1:2" x14ac:dyDescent="0.35">
      <c r="A1409" s="85">
        <v>45078</v>
      </c>
      <c r="B1409">
        <v>0.24879999999999999</v>
      </c>
    </row>
    <row r="1410" spans="1:2" x14ac:dyDescent="0.35">
      <c r="A1410" s="85">
        <v>45079</v>
      </c>
      <c r="B1410">
        <v>0.24740000000000001</v>
      </c>
    </row>
    <row r="1411" spans="1:2" x14ac:dyDescent="0.35">
      <c r="A1411" s="85">
        <v>45082</v>
      </c>
      <c r="B1411">
        <v>0.24399999999999999</v>
      </c>
    </row>
    <row r="1412" spans="1:2" x14ac:dyDescent="0.35">
      <c r="A1412" s="85">
        <v>45083</v>
      </c>
      <c r="B1412">
        <v>0.24579999999999999</v>
      </c>
    </row>
    <row r="1413" spans="1:2" x14ac:dyDescent="0.35">
      <c r="A1413" s="85">
        <v>45084</v>
      </c>
      <c r="B1413">
        <v>0.245</v>
      </c>
    </row>
    <row r="1414" spans="1:2" x14ac:dyDescent="0.35">
      <c r="A1414" s="85">
        <v>45085</v>
      </c>
      <c r="B1414">
        <v>0.25480000000000003</v>
      </c>
    </row>
    <row r="1415" spans="1:2" x14ac:dyDescent="0.35">
      <c r="A1415" s="85">
        <v>45086</v>
      </c>
      <c r="B1415">
        <v>0.2535</v>
      </c>
    </row>
    <row r="1416" spans="1:2" x14ac:dyDescent="0.35">
      <c r="A1416" s="85">
        <v>45089</v>
      </c>
      <c r="B1416">
        <v>0.25469999999999998</v>
      </c>
    </row>
    <row r="1417" spans="1:2" x14ac:dyDescent="0.35">
      <c r="A1417" s="85">
        <v>45090</v>
      </c>
      <c r="B1417">
        <v>0.25130000000000002</v>
      </c>
    </row>
    <row r="1418" spans="1:2" x14ac:dyDescent="0.35">
      <c r="A1418" s="85">
        <v>45091</v>
      </c>
      <c r="B1418">
        <v>0.25840000000000002</v>
      </c>
    </row>
    <row r="1419" spans="1:2" x14ac:dyDescent="0.35">
      <c r="A1419" s="85">
        <v>45092</v>
      </c>
      <c r="B1419">
        <v>0.26</v>
      </c>
    </row>
    <row r="1420" spans="1:2" x14ac:dyDescent="0.35">
      <c r="A1420" s="85">
        <v>45093</v>
      </c>
      <c r="B1420">
        <v>0.26329999999999998</v>
      </c>
    </row>
    <row r="1421" spans="1:2" x14ac:dyDescent="0.35">
      <c r="A1421" s="85">
        <v>45096</v>
      </c>
      <c r="B1421">
        <v>0.26329999999999998</v>
      </c>
    </row>
    <row r="1422" spans="1:2" x14ac:dyDescent="0.35">
      <c r="A1422" s="85">
        <v>45097</v>
      </c>
      <c r="B1422">
        <v>0.26219999999999999</v>
      </c>
    </row>
    <row r="1423" spans="1:2" x14ac:dyDescent="0.35">
      <c r="A1423" s="85">
        <v>45098</v>
      </c>
      <c r="B1423">
        <v>0.25879999999999997</v>
      </c>
    </row>
    <row r="1424" spans="1:2" x14ac:dyDescent="0.35">
      <c r="A1424" s="85">
        <v>45099</v>
      </c>
      <c r="B1424">
        <v>0.24929999999999999</v>
      </c>
    </row>
    <row r="1425" spans="1:2" x14ac:dyDescent="0.35">
      <c r="A1425" s="85">
        <v>45100</v>
      </c>
      <c r="B1425">
        <v>0.24429999999999999</v>
      </c>
    </row>
    <row r="1426" spans="1:2" x14ac:dyDescent="0.35">
      <c r="A1426" s="85">
        <v>45103</v>
      </c>
      <c r="B1426">
        <v>0.23719999999999999</v>
      </c>
    </row>
    <row r="1427" spans="1:2" x14ac:dyDescent="0.35">
      <c r="A1427" s="85">
        <v>45104</v>
      </c>
      <c r="B1427">
        <v>0.23130000000000001</v>
      </c>
    </row>
    <row r="1428" spans="1:2" x14ac:dyDescent="0.35">
      <c r="A1428" s="85">
        <v>45105</v>
      </c>
      <c r="B1428">
        <v>0.22589999999999999</v>
      </c>
    </row>
    <row r="1429" spans="1:2" x14ac:dyDescent="0.35">
      <c r="A1429" s="85">
        <v>45106</v>
      </c>
      <c r="B1429">
        <v>0.222</v>
      </c>
    </row>
    <row r="1430" spans="1:2" x14ac:dyDescent="0.35">
      <c r="A1430" s="85">
        <v>45107</v>
      </c>
      <c r="B1430">
        <v>0.22919999999999999</v>
      </c>
    </row>
    <row r="1431" spans="1:2" x14ac:dyDescent="0.35">
      <c r="A1431" s="85">
        <v>45110</v>
      </c>
      <c r="B1431">
        <v>0.23330000000000001</v>
      </c>
    </row>
    <row r="1432" spans="1:2" x14ac:dyDescent="0.35">
      <c r="A1432" s="85">
        <v>45111</v>
      </c>
      <c r="B1432">
        <v>0.23319999999999999</v>
      </c>
    </row>
    <row r="1433" spans="1:2" x14ac:dyDescent="0.35">
      <c r="A1433" s="85">
        <v>45112</v>
      </c>
      <c r="B1433">
        <v>0.23499999999999999</v>
      </c>
    </row>
    <row r="1434" spans="1:2" x14ac:dyDescent="0.35">
      <c r="A1434" s="85">
        <v>45113</v>
      </c>
      <c r="B1434">
        <v>0.23250000000000001</v>
      </c>
    </row>
    <row r="1435" spans="1:2" x14ac:dyDescent="0.35">
      <c r="A1435" s="85">
        <v>45114</v>
      </c>
      <c r="B1435">
        <v>0.2351</v>
      </c>
    </row>
    <row r="1436" spans="1:2" x14ac:dyDescent="0.35">
      <c r="A1436" s="85">
        <v>45117</v>
      </c>
      <c r="B1436">
        <v>0.2344</v>
      </c>
    </row>
    <row r="1437" spans="1:2" x14ac:dyDescent="0.35">
      <c r="A1437" s="85">
        <v>45118</v>
      </c>
      <c r="B1437">
        <v>0.23519999999999999</v>
      </c>
    </row>
    <row r="1438" spans="1:2" x14ac:dyDescent="0.35">
      <c r="A1438" s="85">
        <v>45119</v>
      </c>
      <c r="B1438">
        <v>0.23910000000000001</v>
      </c>
    </row>
    <row r="1439" spans="1:2" x14ac:dyDescent="0.35">
      <c r="A1439" s="85">
        <v>45120</v>
      </c>
      <c r="B1439">
        <v>0.24010000000000001</v>
      </c>
    </row>
    <row r="1440" spans="1:2" x14ac:dyDescent="0.35">
      <c r="A1440" s="85">
        <v>45121</v>
      </c>
      <c r="B1440">
        <v>0.2429</v>
      </c>
    </row>
    <row r="1441" spans="1:2" x14ac:dyDescent="0.35">
      <c r="A1441" s="85">
        <v>45124</v>
      </c>
      <c r="B1441">
        <v>0.23799999999999999</v>
      </c>
    </row>
    <row r="1442" spans="1:2" x14ac:dyDescent="0.35">
      <c r="A1442" s="85">
        <v>45125</v>
      </c>
      <c r="B1442">
        <v>0.23860000000000001</v>
      </c>
    </row>
    <row r="1443" spans="1:2" x14ac:dyDescent="0.35">
      <c r="A1443" s="85">
        <v>45126</v>
      </c>
      <c r="B1443">
        <v>0.24210000000000001</v>
      </c>
    </row>
    <row r="1444" spans="1:2" x14ac:dyDescent="0.35">
      <c r="A1444" s="85">
        <v>45127</v>
      </c>
      <c r="B1444">
        <v>0.2467</v>
      </c>
    </row>
    <row r="1445" spans="1:2" x14ac:dyDescent="0.35">
      <c r="A1445" s="85">
        <v>45128</v>
      </c>
      <c r="B1445">
        <v>0.25090000000000001</v>
      </c>
    </row>
    <row r="1446" spans="1:2" x14ac:dyDescent="0.35">
      <c r="A1446" s="85">
        <v>45131</v>
      </c>
      <c r="B1446">
        <v>0.2492</v>
      </c>
    </row>
    <row r="1447" spans="1:2" x14ac:dyDescent="0.35">
      <c r="A1447" s="85">
        <v>45132</v>
      </c>
      <c r="B1447">
        <v>0.24709999999999999</v>
      </c>
    </row>
    <row r="1448" spans="1:2" x14ac:dyDescent="0.35">
      <c r="A1448" s="85">
        <v>45133</v>
      </c>
      <c r="B1448">
        <v>0.24390000000000001</v>
      </c>
    </row>
    <row r="1449" spans="1:2" x14ac:dyDescent="0.35">
      <c r="A1449" s="85">
        <v>45134</v>
      </c>
      <c r="B1449">
        <v>0.24429999999999999</v>
      </c>
    </row>
    <row r="1450" spans="1:2" x14ac:dyDescent="0.35">
      <c r="A1450" s="85">
        <v>45135</v>
      </c>
      <c r="B1450">
        <v>0.23899999999999999</v>
      </c>
    </row>
    <row r="1451" spans="1:2" x14ac:dyDescent="0.35">
      <c r="A1451" s="85">
        <v>45138</v>
      </c>
      <c r="B1451">
        <v>0.24110000000000001</v>
      </c>
    </row>
    <row r="1452" spans="1:2" x14ac:dyDescent="0.35">
      <c r="A1452" s="85">
        <v>45139</v>
      </c>
      <c r="B1452">
        <v>0.24390000000000001</v>
      </c>
    </row>
    <row r="1453" spans="1:2" x14ac:dyDescent="0.35">
      <c r="A1453" s="85">
        <v>45140</v>
      </c>
      <c r="B1453">
        <v>0.24199999999999999</v>
      </c>
    </row>
    <row r="1454" spans="1:2" x14ac:dyDescent="0.35">
      <c r="A1454" s="85">
        <v>45141</v>
      </c>
      <c r="B1454">
        <v>0.2402</v>
      </c>
    </row>
    <row r="1455" spans="1:2" x14ac:dyDescent="0.35">
      <c r="A1455" s="85">
        <v>45142</v>
      </c>
      <c r="B1455">
        <v>0.23680000000000001</v>
      </c>
    </row>
    <row r="1456" spans="1:2" x14ac:dyDescent="0.35">
      <c r="A1456" s="85">
        <v>45145</v>
      </c>
      <c r="B1456">
        <v>0.23669999999999999</v>
      </c>
    </row>
    <row r="1457" spans="1:2" x14ac:dyDescent="0.35">
      <c r="A1457" s="85">
        <v>45146</v>
      </c>
      <c r="B1457">
        <v>0.23449999999999999</v>
      </c>
    </row>
    <row r="1458" spans="1:2" x14ac:dyDescent="0.35">
      <c r="A1458" s="85">
        <v>45147</v>
      </c>
      <c r="B1458">
        <v>0.23710000000000001</v>
      </c>
    </row>
    <row r="1459" spans="1:2" x14ac:dyDescent="0.35">
      <c r="A1459" s="85">
        <v>45148</v>
      </c>
      <c r="B1459">
        <v>0.23949999999999999</v>
      </c>
    </row>
    <row r="1460" spans="1:2" x14ac:dyDescent="0.35">
      <c r="A1460" s="85">
        <v>45149</v>
      </c>
      <c r="B1460">
        <v>0.24379999999999999</v>
      </c>
    </row>
    <row r="1461" spans="1:2" x14ac:dyDescent="0.35">
      <c r="A1461" s="85">
        <v>45152</v>
      </c>
      <c r="B1461">
        <v>0.24049999999999999</v>
      </c>
    </row>
    <row r="1462" spans="1:2" x14ac:dyDescent="0.35">
      <c r="A1462" s="85">
        <v>45153</v>
      </c>
      <c r="B1462">
        <v>0.23769999999999999</v>
      </c>
    </row>
    <row r="1463" spans="1:2" x14ac:dyDescent="0.35">
      <c r="A1463" s="85">
        <v>45154</v>
      </c>
      <c r="B1463">
        <v>0.24199999999999999</v>
      </c>
    </row>
    <row r="1464" spans="1:2" x14ac:dyDescent="0.35">
      <c r="A1464" s="85">
        <v>45155</v>
      </c>
      <c r="B1464">
        <v>0.24</v>
      </c>
    </row>
    <row r="1465" spans="1:2" x14ac:dyDescent="0.35">
      <c r="A1465" s="85">
        <v>45156</v>
      </c>
      <c r="B1465">
        <v>0.23799999999999999</v>
      </c>
    </row>
    <row r="1466" spans="1:2" x14ac:dyDescent="0.35">
      <c r="A1466" s="85">
        <v>45159</v>
      </c>
      <c r="B1466">
        <v>0.23400000000000001</v>
      </c>
    </row>
    <row r="1467" spans="1:2" x14ac:dyDescent="0.35">
      <c r="A1467" s="85">
        <v>45160</v>
      </c>
      <c r="B1467">
        <v>0.23400000000000001</v>
      </c>
    </row>
    <row r="1468" spans="1:2" x14ac:dyDescent="0.35">
      <c r="A1468" s="85">
        <v>45161</v>
      </c>
      <c r="B1468">
        <v>0.23849999999999999</v>
      </c>
    </row>
    <row r="1469" spans="1:2" x14ac:dyDescent="0.35">
      <c r="A1469" s="85">
        <v>45162</v>
      </c>
      <c r="B1469">
        <v>0.2429</v>
      </c>
    </row>
    <row r="1470" spans="1:2" x14ac:dyDescent="0.35">
      <c r="A1470" s="85">
        <v>45163</v>
      </c>
      <c r="B1470">
        <v>0.24890000000000001</v>
      </c>
    </row>
    <row r="1471" spans="1:2" x14ac:dyDescent="0.35">
      <c r="A1471" s="85">
        <v>45166</v>
      </c>
      <c r="B1471">
        <v>0.25569999999999998</v>
      </c>
    </row>
    <row r="1472" spans="1:2" x14ac:dyDescent="0.35">
      <c r="A1472" s="85">
        <v>45167</v>
      </c>
      <c r="B1472">
        <v>0.2545</v>
      </c>
    </row>
    <row r="1473" spans="1:2" x14ac:dyDescent="0.35">
      <c r="A1473" s="85">
        <v>45168</v>
      </c>
      <c r="B1473">
        <v>0.25340000000000001</v>
      </c>
    </row>
    <row r="1474" spans="1:2" x14ac:dyDescent="0.35">
      <c r="A1474" s="85">
        <v>45169</v>
      </c>
      <c r="B1474">
        <v>0.25059999999999999</v>
      </c>
    </row>
    <row r="1475" spans="1:2" x14ac:dyDescent="0.35">
      <c r="A1475" s="85">
        <v>45170</v>
      </c>
      <c r="B1475">
        <v>0.2586</v>
      </c>
    </row>
    <row r="1476" spans="1:2" x14ac:dyDescent="0.35">
      <c r="A1476" s="85">
        <v>45173</v>
      </c>
      <c r="B1476">
        <v>0.2581</v>
      </c>
    </row>
    <row r="1477" spans="1:2" x14ac:dyDescent="0.35">
      <c r="A1477" s="85">
        <v>45174</v>
      </c>
      <c r="B1477">
        <v>0.26650000000000001</v>
      </c>
    </row>
    <row r="1478" spans="1:2" x14ac:dyDescent="0.35">
      <c r="A1478" s="85">
        <v>45175</v>
      </c>
      <c r="B1478">
        <v>0.26219999999999999</v>
      </c>
    </row>
    <row r="1479" spans="1:2" x14ac:dyDescent="0.35">
      <c r="A1479" s="85">
        <v>45176</v>
      </c>
      <c r="B1479">
        <v>0.26679999999999998</v>
      </c>
    </row>
    <row r="1480" spans="1:2" x14ac:dyDescent="0.35">
      <c r="A1480" s="85">
        <v>45177</v>
      </c>
      <c r="B1480">
        <v>0.26400000000000001</v>
      </c>
    </row>
    <row r="1481" spans="1:2" x14ac:dyDescent="0.35">
      <c r="A1481" s="85">
        <v>45180</v>
      </c>
      <c r="B1481">
        <v>0.26400000000000001</v>
      </c>
    </row>
    <row r="1482" spans="1:2" x14ac:dyDescent="0.35">
      <c r="A1482" s="85">
        <v>45181</v>
      </c>
      <c r="B1482">
        <v>0.26829999999999998</v>
      </c>
    </row>
    <row r="1483" spans="1:2" x14ac:dyDescent="0.35">
      <c r="A1483" s="85">
        <v>45182</v>
      </c>
      <c r="B1483">
        <v>0.26540000000000002</v>
      </c>
    </row>
    <row r="1484" spans="1:2" x14ac:dyDescent="0.35">
      <c r="A1484" s="85">
        <v>45183</v>
      </c>
      <c r="B1484">
        <v>0.26979999999999998</v>
      </c>
    </row>
    <row r="1485" spans="1:2" x14ac:dyDescent="0.35">
      <c r="A1485" s="85">
        <v>45184</v>
      </c>
      <c r="B1485">
        <v>0.26779999999999998</v>
      </c>
    </row>
    <row r="1486" spans="1:2" x14ac:dyDescent="0.35">
      <c r="A1486" s="85">
        <v>45187</v>
      </c>
      <c r="B1486">
        <v>0.27110000000000001</v>
      </c>
    </row>
    <row r="1487" spans="1:2" x14ac:dyDescent="0.35">
      <c r="A1487" s="85">
        <v>45188</v>
      </c>
      <c r="B1487">
        <v>0.27439999999999998</v>
      </c>
    </row>
    <row r="1488" spans="1:2" x14ac:dyDescent="0.35">
      <c r="A1488" s="85">
        <v>45189</v>
      </c>
      <c r="B1488">
        <v>0.26790000000000003</v>
      </c>
    </row>
    <row r="1489" spans="1:2" x14ac:dyDescent="0.35">
      <c r="A1489" s="85">
        <v>45190</v>
      </c>
      <c r="B1489">
        <v>0.26929999999999998</v>
      </c>
    </row>
    <row r="1490" spans="1:2" x14ac:dyDescent="0.35">
      <c r="A1490" s="85">
        <v>45191</v>
      </c>
      <c r="B1490">
        <v>0.2702</v>
      </c>
    </row>
    <row r="1491" spans="1:2" x14ac:dyDescent="0.35">
      <c r="A1491" s="85">
        <v>45194</v>
      </c>
      <c r="B1491">
        <v>0.2631</v>
      </c>
    </row>
    <row r="1492" spans="1:2" x14ac:dyDescent="0.35">
      <c r="A1492" s="85">
        <v>45195</v>
      </c>
      <c r="B1492">
        <v>0.26019999999999999</v>
      </c>
    </row>
    <row r="1493" spans="1:2" x14ac:dyDescent="0.35">
      <c r="A1493" s="85">
        <v>45196</v>
      </c>
      <c r="B1493">
        <v>0.26129999999999998</v>
      </c>
    </row>
    <row r="1494" spans="1:2" x14ac:dyDescent="0.35">
      <c r="A1494" s="85">
        <v>45197</v>
      </c>
      <c r="B1494">
        <v>0.26729999999999998</v>
      </c>
    </row>
    <row r="1495" spans="1:2" x14ac:dyDescent="0.35">
      <c r="A1495" s="85">
        <v>45198</v>
      </c>
      <c r="B1495">
        <v>0.2651</v>
      </c>
    </row>
    <row r="1496" spans="1:2" x14ac:dyDescent="0.35">
      <c r="A1496" s="85">
        <v>45201</v>
      </c>
      <c r="B1496">
        <v>0.26350000000000001</v>
      </c>
    </row>
    <row r="1497" spans="1:2" x14ac:dyDescent="0.35">
      <c r="A1497" s="85">
        <v>45202</v>
      </c>
      <c r="B1497">
        <v>0.25669999999999998</v>
      </c>
    </row>
    <row r="1498" spans="1:2" x14ac:dyDescent="0.35">
      <c r="A1498" s="85">
        <v>45203</v>
      </c>
      <c r="B1498">
        <v>0.25929999999999997</v>
      </c>
    </row>
    <row r="1499" spans="1:2" x14ac:dyDescent="0.35">
      <c r="A1499" s="85">
        <v>45204</v>
      </c>
      <c r="B1499">
        <v>0.2616</v>
      </c>
    </row>
    <row r="1500" spans="1:2" x14ac:dyDescent="0.35">
      <c r="A1500" s="85">
        <v>45205</v>
      </c>
      <c r="B1500">
        <v>0.26769999999999999</v>
      </c>
    </row>
    <row r="1501" spans="1:2" x14ac:dyDescent="0.35">
      <c r="A1501" s="85">
        <v>45208</v>
      </c>
      <c r="B1501">
        <v>0.27179999999999999</v>
      </c>
    </row>
    <row r="1502" spans="1:2" x14ac:dyDescent="0.35">
      <c r="A1502" s="85">
        <v>45209</v>
      </c>
      <c r="B1502">
        <v>0.27050000000000002</v>
      </c>
    </row>
    <row r="1503" spans="1:2" x14ac:dyDescent="0.35">
      <c r="A1503" s="85">
        <v>45210</v>
      </c>
      <c r="B1503">
        <v>0.26400000000000001</v>
      </c>
    </row>
    <row r="1504" spans="1:2" x14ac:dyDescent="0.35">
      <c r="A1504" s="85">
        <v>45211</v>
      </c>
      <c r="B1504">
        <v>0.26350000000000001</v>
      </c>
    </row>
    <row r="1505" spans="1:2" x14ac:dyDescent="0.35">
      <c r="A1505" s="85">
        <v>45212</v>
      </c>
      <c r="B1505">
        <v>0.27079999999999999</v>
      </c>
    </row>
    <row r="1506" spans="1:2" x14ac:dyDescent="0.35">
      <c r="A1506" s="85">
        <v>45215</v>
      </c>
      <c r="B1506">
        <v>0.27050000000000002</v>
      </c>
    </row>
    <row r="1507" spans="1:2" x14ac:dyDescent="0.35">
      <c r="A1507" s="85">
        <v>45216</v>
      </c>
      <c r="B1507">
        <v>0.27489999999999998</v>
      </c>
    </row>
    <row r="1508" spans="1:2" x14ac:dyDescent="0.35">
      <c r="A1508" s="85">
        <v>45217</v>
      </c>
      <c r="B1508">
        <v>0.27479999999999999</v>
      </c>
    </row>
    <row r="1509" spans="1:2" x14ac:dyDescent="0.35">
      <c r="A1509" s="85">
        <v>45218</v>
      </c>
      <c r="B1509">
        <v>0.27289999999999998</v>
      </c>
    </row>
    <row r="1510" spans="1:2" x14ac:dyDescent="0.35">
      <c r="A1510" s="85">
        <v>45219</v>
      </c>
      <c r="B1510">
        <v>0.26850000000000002</v>
      </c>
    </row>
    <row r="1511" spans="1:2" x14ac:dyDescent="0.35">
      <c r="A1511" s="85">
        <v>45222</v>
      </c>
      <c r="B1511">
        <v>0.27479999999999999</v>
      </c>
    </row>
    <row r="1512" spans="1:2" x14ac:dyDescent="0.35">
      <c r="A1512" s="85">
        <v>45223</v>
      </c>
      <c r="B1512">
        <v>0.27529999999999999</v>
      </c>
    </row>
    <row r="1513" spans="1:2" x14ac:dyDescent="0.35">
      <c r="A1513" s="85">
        <v>45224</v>
      </c>
      <c r="B1513">
        <v>0.27660000000000001</v>
      </c>
    </row>
    <row r="1514" spans="1:2" x14ac:dyDescent="0.35">
      <c r="A1514" s="85">
        <v>45225</v>
      </c>
      <c r="B1514">
        <v>0.27039999999999997</v>
      </c>
    </row>
    <row r="1515" spans="1:2" x14ac:dyDescent="0.35">
      <c r="A1515" s="85">
        <v>45226</v>
      </c>
      <c r="B1515">
        <v>0.2737</v>
      </c>
    </row>
    <row r="1516" spans="1:2" x14ac:dyDescent="0.35">
      <c r="A1516" s="85">
        <v>45229</v>
      </c>
      <c r="B1516">
        <v>0.26750000000000002</v>
      </c>
    </row>
    <row r="1517" spans="1:2" x14ac:dyDescent="0.35">
      <c r="A1517" s="85">
        <v>45230</v>
      </c>
      <c r="B1517">
        <v>0.27089999999999997</v>
      </c>
    </row>
    <row r="1518" spans="1:2" x14ac:dyDescent="0.35">
      <c r="A1518" s="85">
        <v>45231</v>
      </c>
      <c r="B1518">
        <v>0.27510000000000001</v>
      </c>
    </row>
    <row r="1519" spans="1:2" x14ac:dyDescent="0.35">
      <c r="A1519" s="85">
        <v>45232</v>
      </c>
      <c r="B1519">
        <v>0.27479999999999999</v>
      </c>
    </row>
    <row r="1520" spans="1:2" x14ac:dyDescent="0.35">
      <c r="A1520" s="85">
        <v>45233</v>
      </c>
      <c r="B1520">
        <v>0.27779999999999999</v>
      </c>
    </row>
    <row r="1521" spans="1:2" x14ac:dyDescent="0.35">
      <c r="A1521" s="85">
        <v>45236</v>
      </c>
      <c r="B1521">
        <v>0.2797</v>
      </c>
    </row>
    <row r="1522" spans="1:2" x14ac:dyDescent="0.35">
      <c r="A1522" s="85">
        <v>45237</v>
      </c>
      <c r="B1522">
        <v>0.27550000000000002</v>
      </c>
    </row>
    <row r="1523" spans="1:2" x14ac:dyDescent="0.35">
      <c r="A1523" s="85">
        <v>45238</v>
      </c>
      <c r="B1523">
        <v>0.27239999999999998</v>
      </c>
    </row>
    <row r="1524" spans="1:2" x14ac:dyDescent="0.35">
      <c r="A1524" s="85">
        <v>45239</v>
      </c>
      <c r="B1524">
        <v>0.2777</v>
      </c>
    </row>
    <row r="1525" spans="1:2" x14ac:dyDescent="0.35">
      <c r="A1525" s="85">
        <v>45240</v>
      </c>
      <c r="B1525">
        <v>0.27329999999999999</v>
      </c>
    </row>
    <row r="1526" spans="1:2" x14ac:dyDescent="0.35">
      <c r="A1526" s="85">
        <v>45243</v>
      </c>
      <c r="B1526">
        <v>0.27710000000000001</v>
      </c>
    </row>
    <row r="1527" spans="1:2" x14ac:dyDescent="0.35">
      <c r="A1527" s="85">
        <v>45244</v>
      </c>
      <c r="B1527">
        <v>0.27189999999999998</v>
      </c>
    </row>
    <row r="1528" spans="1:2" x14ac:dyDescent="0.35">
      <c r="A1528" s="85">
        <v>45245</v>
      </c>
      <c r="B1528">
        <v>0.27189999999999998</v>
      </c>
    </row>
    <row r="1529" spans="1:2" x14ac:dyDescent="0.35">
      <c r="A1529" s="85">
        <v>45246</v>
      </c>
      <c r="B1529">
        <v>0.27200000000000002</v>
      </c>
    </row>
    <row r="1530" spans="1:2" x14ac:dyDescent="0.35">
      <c r="A1530" s="85">
        <v>45247</v>
      </c>
      <c r="B1530">
        <v>0.27200000000000002</v>
      </c>
    </row>
    <row r="1531" spans="1:2" x14ac:dyDescent="0.35">
      <c r="A1531" s="85">
        <v>45250</v>
      </c>
      <c r="B1531">
        <v>0.27450000000000002</v>
      </c>
    </row>
    <row r="1532" spans="1:2" x14ac:dyDescent="0.35">
      <c r="A1532" s="85">
        <v>45254</v>
      </c>
      <c r="B1532">
        <v>0.26879999999999998</v>
      </c>
    </row>
    <row r="1533" spans="1:2" x14ac:dyDescent="0.35">
      <c r="A1533" s="85">
        <v>45257</v>
      </c>
      <c r="B1533">
        <v>0.26979999999999998</v>
      </c>
    </row>
    <row r="1534" spans="1:2" x14ac:dyDescent="0.35">
      <c r="A1534" s="85">
        <v>45258</v>
      </c>
      <c r="B1534">
        <v>0.27200000000000002</v>
      </c>
    </row>
    <row r="1535" spans="1:2" x14ac:dyDescent="0.35">
      <c r="A1535" s="85">
        <v>45259</v>
      </c>
      <c r="B1535">
        <v>0.26989999999999997</v>
      </c>
    </row>
    <row r="1536" spans="1:2" x14ac:dyDescent="0.35">
      <c r="A1536" s="85">
        <v>45260</v>
      </c>
      <c r="B1536">
        <v>0.26860000000000001</v>
      </c>
    </row>
    <row r="1537" spans="1:2" x14ac:dyDescent="0.35">
      <c r="A1537" s="85">
        <v>45261</v>
      </c>
      <c r="B1537">
        <v>0.26040000000000002</v>
      </c>
    </row>
    <row r="1538" spans="1:2" x14ac:dyDescent="0.35">
      <c r="A1538" s="85">
        <v>45264</v>
      </c>
      <c r="B1538">
        <v>0.25090000000000001</v>
      </c>
    </row>
    <row r="1539" spans="1:2" x14ac:dyDescent="0.35">
      <c r="A1539" s="85">
        <v>45265</v>
      </c>
      <c r="B1539">
        <v>0.2581</v>
      </c>
    </row>
    <row r="1540" spans="1:2" x14ac:dyDescent="0.35">
      <c r="A1540" s="85">
        <v>45266</v>
      </c>
      <c r="B1540">
        <v>0.24959999999999999</v>
      </c>
    </row>
    <row r="1541" spans="1:2" x14ac:dyDescent="0.35">
      <c r="A1541" s="85">
        <v>45267</v>
      </c>
      <c r="B1541">
        <v>0.2301</v>
      </c>
    </row>
    <row r="1542" spans="1:2" x14ac:dyDescent="0.35">
      <c r="A1542" s="85">
        <v>45268</v>
      </c>
      <c r="B1542">
        <v>0.23400000000000001</v>
      </c>
    </row>
    <row r="1543" spans="1:2" x14ac:dyDescent="0.35">
      <c r="A1543" s="85">
        <v>45271</v>
      </c>
      <c r="B1543">
        <v>0.22559999999999999</v>
      </c>
    </row>
    <row r="1544" spans="1:2" x14ac:dyDescent="0.35">
      <c r="A1544" s="85">
        <v>45272</v>
      </c>
      <c r="B1544">
        <v>0.22509999999999999</v>
      </c>
    </row>
    <row r="1545" spans="1:2" x14ac:dyDescent="0.35">
      <c r="A1545" s="85">
        <v>45273</v>
      </c>
      <c r="B1545">
        <v>0.21890000000000001</v>
      </c>
    </row>
    <row r="1546" spans="1:2" x14ac:dyDescent="0.35">
      <c r="A1546" s="85">
        <v>45274</v>
      </c>
      <c r="B1546">
        <v>0.22270000000000001</v>
      </c>
    </row>
    <row r="1547" spans="1:2" x14ac:dyDescent="0.35">
      <c r="A1547" s="85">
        <v>45275</v>
      </c>
      <c r="B1547">
        <v>0.21990000000000001</v>
      </c>
    </row>
    <row r="1548" spans="1:2" x14ac:dyDescent="0.35">
      <c r="A1548" s="85">
        <v>45278</v>
      </c>
      <c r="B1548">
        <v>0.2137</v>
      </c>
    </row>
    <row r="1549" spans="1:2" x14ac:dyDescent="0.35">
      <c r="A1549" s="85">
        <v>45279</v>
      </c>
      <c r="B1549">
        <v>0.214</v>
      </c>
    </row>
    <row r="1550" spans="1:2" x14ac:dyDescent="0.35">
      <c r="A1550" s="85">
        <v>45280</v>
      </c>
      <c r="B1550">
        <v>0.20880000000000001</v>
      </c>
    </row>
    <row r="1551" spans="1:2" x14ac:dyDescent="0.35">
      <c r="A1551" s="85">
        <v>45281</v>
      </c>
      <c r="B1551">
        <v>0.20419999999999999</v>
      </c>
    </row>
    <row r="1552" spans="1:2" x14ac:dyDescent="0.35">
      <c r="A1552" s="85">
        <v>45282</v>
      </c>
      <c r="B1552">
        <v>0.20569999999999999</v>
      </c>
    </row>
    <row r="1553" spans="1:2" x14ac:dyDescent="0.35">
      <c r="A1553" s="85">
        <v>45285</v>
      </c>
      <c r="B1553">
        <v>0.20569999999999999</v>
      </c>
    </row>
    <row r="1554" spans="1:2" x14ac:dyDescent="0.35">
      <c r="A1554" s="85">
        <v>45286</v>
      </c>
      <c r="B1554">
        <v>0.2046</v>
      </c>
    </row>
    <row r="1555" spans="1:2" x14ac:dyDescent="0.35">
      <c r="A1555" s="85">
        <v>45287</v>
      </c>
      <c r="B1555">
        <v>0.20630000000000001</v>
      </c>
    </row>
    <row r="1556" spans="1:2" x14ac:dyDescent="0.35">
      <c r="A1556" s="85">
        <v>45288</v>
      </c>
      <c r="B1556">
        <v>0.21870000000000001</v>
      </c>
    </row>
    <row r="1557" spans="1:2" x14ac:dyDescent="0.35">
      <c r="A1557" s="85">
        <v>45289</v>
      </c>
      <c r="B1557">
        <v>0.2049</v>
      </c>
    </row>
    <row r="1558" spans="1:2" x14ac:dyDescent="0.35">
      <c r="A1558" s="85">
        <v>45292</v>
      </c>
      <c r="B1558">
        <v>0.2049</v>
      </c>
    </row>
    <row r="1559" spans="1:2" x14ac:dyDescent="0.35">
      <c r="A1559" s="85">
        <v>45293</v>
      </c>
      <c r="B1559">
        <v>0.20860000000000001</v>
      </c>
    </row>
    <row r="1560" spans="1:2" x14ac:dyDescent="0.35">
      <c r="A1560" s="85">
        <v>45294</v>
      </c>
      <c r="B1560">
        <v>0.20910000000000001</v>
      </c>
    </row>
    <row r="1561" spans="1:2" x14ac:dyDescent="0.35">
      <c r="A1561" s="85">
        <v>45295</v>
      </c>
      <c r="B1561">
        <v>0.2114</v>
      </c>
    </row>
    <row r="1562" spans="1:2" x14ac:dyDescent="0.35">
      <c r="A1562" s="85">
        <v>45296</v>
      </c>
      <c r="B1562">
        <v>0.21099999999999999</v>
      </c>
    </row>
    <row r="1563" spans="1:2" x14ac:dyDescent="0.35">
      <c r="A1563" s="85">
        <v>45299</v>
      </c>
      <c r="B1563">
        <v>0.2177</v>
      </c>
    </row>
    <row r="1564" spans="1:2" x14ac:dyDescent="0.35">
      <c r="A1564" s="85">
        <v>45300</v>
      </c>
      <c r="B1564">
        <v>0.216</v>
      </c>
    </row>
    <row r="1565" spans="1:2" x14ac:dyDescent="0.35">
      <c r="A1565" s="85">
        <v>45301</v>
      </c>
      <c r="B1565">
        <v>0.214</v>
      </c>
    </row>
    <row r="1566" spans="1:2" x14ac:dyDescent="0.35">
      <c r="A1566" s="85">
        <v>45302</v>
      </c>
      <c r="B1566">
        <v>0.21840000000000001</v>
      </c>
    </row>
    <row r="1567" spans="1:2" x14ac:dyDescent="0.35">
      <c r="A1567" s="85">
        <v>45303</v>
      </c>
      <c r="B1567">
        <v>0.21629999999999999</v>
      </c>
    </row>
    <row r="1568" spans="1:2" x14ac:dyDescent="0.35">
      <c r="A1568" s="85">
        <v>45306</v>
      </c>
      <c r="B1568">
        <v>0.21629999999999999</v>
      </c>
    </row>
    <row r="1569" spans="1:2" x14ac:dyDescent="0.35">
      <c r="A1569" s="85">
        <v>45307</v>
      </c>
      <c r="B1569">
        <v>0.22600000000000001</v>
      </c>
    </row>
    <row r="1570" spans="1:2" x14ac:dyDescent="0.35">
      <c r="A1570" s="85">
        <v>45308</v>
      </c>
      <c r="B1570">
        <v>0.22339999999999999</v>
      </c>
    </row>
    <row r="1571" spans="1:2" x14ac:dyDescent="0.35">
      <c r="A1571" s="85">
        <v>45309</v>
      </c>
      <c r="B1571">
        <v>0.23169999999999999</v>
      </c>
    </row>
    <row r="1572" spans="1:2" x14ac:dyDescent="0.35">
      <c r="A1572" s="85">
        <v>45310</v>
      </c>
      <c r="B1572">
        <v>0.2356</v>
      </c>
    </row>
    <row r="1573" spans="1:2" x14ac:dyDescent="0.35">
      <c r="A1573" s="85">
        <v>45313</v>
      </c>
      <c r="B1573">
        <v>0.23499999999999999</v>
      </c>
    </row>
    <row r="1574" spans="1:2" x14ac:dyDescent="0.35">
      <c r="A1574" s="85">
        <v>45314</v>
      </c>
      <c r="B1574">
        <v>0.23719999999999999</v>
      </c>
    </row>
    <row r="1575" spans="1:2" x14ac:dyDescent="0.35">
      <c r="A1575" s="85">
        <v>45315</v>
      </c>
      <c r="B1575">
        <v>0.2445</v>
      </c>
    </row>
    <row r="1576" spans="1:2" x14ac:dyDescent="0.35">
      <c r="A1576" s="85">
        <v>45316</v>
      </c>
      <c r="B1576">
        <v>0.23960000000000001</v>
      </c>
    </row>
    <row r="1577" spans="1:2" x14ac:dyDescent="0.35">
      <c r="A1577" s="85">
        <v>45317</v>
      </c>
      <c r="B1577">
        <v>0.2384</v>
      </c>
    </row>
    <row r="1578" spans="1:2" x14ac:dyDescent="0.35">
      <c r="A1578" s="85">
        <v>45320</v>
      </c>
      <c r="B1578">
        <v>0.23499999999999999</v>
      </c>
    </row>
    <row r="1579" spans="1:2" x14ac:dyDescent="0.35">
      <c r="A1579" s="85">
        <v>45321</v>
      </c>
      <c r="B1579">
        <v>0.24010000000000001</v>
      </c>
    </row>
    <row r="1580" spans="1:2" x14ac:dyDescent="0.35">
      <c r="A1580" s="85">
        <v>45322</v>
      </c>
      <c r="B1580">
        <v>0.24060000000000001</v>
      </c>
    </row>
    <row r="1581" spans="1:2" x14ac:dyDescent="0.35">
      <c r="A1581" s="85">
        <v>45323</v>
      </c>
      <c r="B1581">
        <v>0.23499999999999999</v>
      </c>
    </row>
    <row r="1582" spans="1:2" x14ac:dyDescent="0.35">
      <c r="A1582" s="85">
        <v>45324</v>
      </c>
      <c r="B1582">
        <v>0.23930000000000001</v>
      </c>
    </row>
    <row r="1583" spans="1:2" x14ac:dyDescent="0.35">
      <c r="A1583" s="85">
        <v>45327</v>
      </c>
      <c r="B1583">
        <v>0.2354</v>
      </c>
    </row>
    <row r="1584" spans="1:2" x14ac:dyDescent="0.35">
      <c r="A1584" s="85">
        <v>45328</v>
      </c>
      <c r="B1584">
        <v>0.2359</v>
      </c>
    </row>
    <row r="1585" spans="1:2" x14ac:dyDescent="0.35">
      <c r="A1585" s="85">
        <v>45329</v>
      </c>
      <c r="B1585">
        <v>0.23830000000000001</v>
      </c>
    </row>
    <row r="1586" spans="1:2" x14ac:dyDescent="0.35">
      <c r="A1586" s="85">
        <v>45330</v>
      </c>
      <c r="B1586">
        <v>0.23949999999999999</v>
      </c>
    </row>
    <row r="1587" spans="1:2" x14ac:dyDescent="0.35">
      <c r="A1587" s="85">
        <v>45331</v>
      </c>
      <c r="B1587">
        <v>0.2399</v>
      </c>
    </row>
    <row r="1588" spans="1:2" x14ac:dyDescent="0.35">
      <c r="A1588" s="85">
        <v>45334</v>
      </c>
      <c r="B1588">
        <v>0.2361</v>
      </c>
    </row>
    <row r="1589" spans="1:2" x14ac:dyDescent="0.35">
      <c r="A1589" s="85">
        <v>45335</v>
      </c>
      <c r="B1589">
        <v>0.23300000000000001</v>
      </c>
    </row>
    <row r="1590" spans="1:2" x14ac:dyDescent="0.35">
      <c r="A1590" s="85">
        <v>45336</v>
      </c>
      <c r="B1590">
        <v>0.23400000000000001</v>
      </c>
    </row>
    <row r="1591" spans="1:2" x14ac:dyDescent="0.35">
      <c r="A1591" s="85">
        <v>45337</v>
      </c>
      <c r="B1591">
        <v>0.2276</v>
      </c>
    </row>
    <row r="1592" spans="1:2" x14ac:dyDescent="0.35">
      <c r="A1592" s="85">
        <v>45338</v>
      </c>
      <c r="B1592">
        <v>0.23050000000000001</v>
      </c>
    </row>
    <row r="1593" spans="1:2" x14ac:dyDescent="0.35">
      <c r="A1593" s="85">
        <v>45341</v>
      </c>
      <c r="B1593">
        <v>0.23050000000000001</v>
      </c>
    </row>
    <row r="1594" spans="1:2" x14ac:dyDescent="0.35">
      <c r="A1594" s="85">
        <v>45342</v>
      </c>
      <c r="B1594">
        <v>0.22789999999999999</v>
      </c>
    </row>
    <row r="1595" spans="1:2" x14ac:dyDescent="0.35">
      <c r="A1595" s="85">
        <v>45343</v>
      </c>
      <c r="B1595">
        <v>0.22839999999999999</v>
      </c>
    </row>
    <row r="1596" spans="1:2" x14ac:dyDescent="0.35">
      <c r="A1596" s="85">
        <v>45344</v>
      </c>
      <c r="B1596">
        <v>0.2283</v>
      </c>
    </row>
    <row r="1597" spans="1:2" x14ac:dyDescent="0.35">
      <c r="A1597" s="85">
        <v>45345</v>
      </c>
      <c r="B1597">
        <v>0.22620000000000001</v>
      </c>
    </row>
    <row r="1598" spans="1:2" x14ac:dyDescent="0.35">
      <c r="A1598" s="85">
        <v>45348</v>
      </c>
      <c r="B1598">
        <v>0.23100000000000001</v>
      </c>
    </row>
    <row r="1599" spans="1:2" x14ac:dyDescent="0.35">
      <c r="A1599" s="85">
        <v>45349</v>
      </c>
      <c r="B1599">
        <v>0.23630000000000001</v>
      </c>
    </row>
    <row r="1600" spans="1:2" x14ac:dyDescent="0.35">
      <c r="A1600" s="85">
        <v>45350</v>
      </c>
      <c r="B1600">
        <v>0.2399</v>
      </c>
    </row>
    <row r="1601" spans="1:2" x14ac:dyDescent="0.35">
      <c r="A1601" s="85">
        <v>45351</v>
      </c>
      <c r="B1601">
        <v>0.22559999999999999</v>
      </c>
    </row>
    <row r="1602" spans="1:2" x14ac:dyDescent="0.35">
      <c r="A1602" s="85">
        <v>45352</v>
      </c>
      <c r="B1602">
        <v>0.21</v>
      </c>
    </row>
    <row r="1603" spans="1:2" x14ac:dyDescent="0.35">
      <c r="A1603" s="85">
        <v>45355</v>
      </c>
      <c r="B1603">
        <v>0.20580000000000001</v>
      </c>
    </row>
    <row r="1604" spans="1:2" x14ac:dyDescent="0.35">
      <c r="A1604" s="85">
        <v>45356</v>
      </c>
      <c r="B1604">
        <v>0.20860000000000001</v>
      </c>
    </row>
    <row r="1605" spans="1:2" x14ac:dyDescent="0.35">
      <c r="A1605" s="85">
        <v>45357</v>
      </c>
      <c r="B1605">
        <v>0.2145</v>
      </c>
    </row>
    <row r="1606" spans="1:2" x14ac:dyDescent="0.35">
      <c r="A1606" s="85">
        <v>45358</v>
      </c>
      <c r="B1606">
        <v>0.21299999999999999</v>
      </c>
    </row>
    <row r="1607" spans="1:2" x14ac:dyDescent="0.35">
      <c r="A1607" s="85">
        <v>45359</v>
      </c>
      <c r="B1607">
        <v>0.21179999999999999</v>
      </c>
    </row>
    <row r="1608" spans="1:2" x14ac:dyDescent="0.35">
      <c r="A1608" s="85">
        <v>45362</v>
      </c>
      <c r="B1608">
        <v>0.2195</v>
      </c>
    </row>
    <row r="1609" spans="1:2" x14ac:dyDescent="0.35">
      <c r="A1609" s="85">
        <v>45363</v>
      </c>
      <c r="B1609">
        <v>0.21890000000000001</v>
      </c>
    </row>
    <row r="1610" spans="1:2" x14ac:dyDescent="0.35">
      <c r="A1610" s="85">
        <v>45364</v>
      </c>
      <c r="B1610">
        <v>0.21929999999999999</v>
      </c>
    </row>
    <row r="1611" spans="1:2" x14ac:dyDescent="0.35">
      <c r="A1611" s="85">
        <v>45365</v>
      </c>
      <c r="B1611">
        <v>0.2177</v>
      </c>
    </row>
    <row r="1612" spans="1:2" x14ac:dyDescent="0.35">
      <c r="A1612" s="85">
        <v>45366</v>
      </c>
      <c r="B1612">
        <v>0.2213</v>
      </c>
    </row>
    <row r="1613" spans="1:2" x14ac:dyDescent="0.35">
      <c r="A1613" s="85">
        <v>45369</v>
      </c>
      <c r="B1613">
        <v>0.22159999999999999</v>
      </c>
    </row>
    <row r="1614" spans="1:2" x14ac:dyDescent="0.35">
      <c r="A1614" s="85">
        <v>45370</v>
      </c>
      <c r="B1614">
        <v>0.21640000000000001</v>
      </c>
    </row>
    <row r="1615" spans="1:2" x14ac:dyDescent="0.35">
      <c r="A1615" s="85">
        <v>45371</v>
      </c>
      <c r="B1615">
        <v>0.2177</v>
      </c>
    </row>
    <row r="1616" spans="1:2" x14ac:dyDescent="0.35">
      <c r="A1616" s="85">
        <v>45372</v>
      </c>
      <c r="B1616">
        <v>0.22059999999999999</v>
      </c>
    </row>
    <row r="1617" spans="1:2" x14ac:dyDescent="0.35">
      <c r="A1617" s="85">
        <v>45373</v>
      </c>
      <c r="B1617">
        <v>0.21859999999999999</v>
      </c>
    </row>
    <row r="1618" spans="1:2" x14ac:dyDescent="0.35">
      <c r="A1618" s="85">
        <v>45376</v>
      </c>
      <c r="B1618">
        <v>0.21970000000000001</v>
      </c>
    </row>
    <row r="1619" spans="1:2" x14ac:dyDescent="0.35">
      <c r="A1619" s="85">
        <v>45377</v>
      </c>
      <c r="B1619">
        <v>0.22389999999999999</v>
      </c>
    </row>
    <row r="1620" spans="1:2" x14ac:dyDescent="0.35">
      <c r="A1620" s="85">
        <v>45378</v>
      </c>
      <c r="B1620">
        <v>0.22170000000000001</v>
      </c>
    </row>
    <row r="1621" spans="1:2" x14ac:dyDescent="0.35">
      <c r="A1621" s="85">
        <v>45379</v>
      </c>
      <c r="B1621">
        <v>0.22509999999999999</v>
      </c>
    </row>
    <row r="1622" spans="1:2" x14ac:dyDescent="0.35">
      <c r="A1622" s="85">
        <v>45380</v>
      </c>
      <c r="B1622">
        <v>0.22509999999999999</v>
      </c>
    </row>
    <row r="1623" spans="1:2" x14ac:dyDescent="0.35">
      <c r="A1623" s="85">
        <v>45383</v>
      </c>
      <c r="B1623">
        <v>0.2263</v>
      </c>
    </row>
    <row r="1624" spans="1:2" x14ac:dyDescent="0.35">
      <c r="A1624" s="85">
        <v>45384</v>
      </c>
      <c r="B1624">
        <v>0.22320000000000001</v>
      </c>
    </row>
    <row r="1625" spans="1:2" x14ac:dyDescent="0.35">
      <c r="A1625" s="85">
        <v>45385</v>
      </c>
      <c r="B1625">
        <v>0.22220000000000001</v>
      </c>
    </row>
    <row r="1626" spans="1:2" x14ac:dyDescent="0.35">
      <c r="A1626" s="85">
        <v>45386</v>
      </c>
      <c r="B1626">
        <v>0.22359999999999999</v>
      </c>
    </row>
    <row r="1627" spans="1:2" x14ac:dyDescent="0.35">
      <c r="A1627" s="85">
        <v>45387</v>
      </c>
      <c r="B1627">
        <v>0.21940000000000001</v>
      </c>
    </row>
    <row r="1628" spans="1:2" x14ac:dyDescent="0.35">
      <c r="A1628" s="85">
        <v>45390</v>
      </c>
      <c r="B1628">
        <v>0.21590000000000001</v>
      </c>
    </row>
    <row r="1629" spans="1:2" x14ac:dyDescent="0.35">
      <c r="A1629" s="85">
        <v>45391</v>
      </c>
      <c r="B1629">
        <v>0.21490000000000001</v>
      </c>
    </row>
    <row r="1630" spans="1:2" x14ac:dyDescent="0.35">
      <c r="A1630" s="85">
        <v>45392</v>
      </c>
      <c r="B1630">
        <v>0.2142</v>
      </c>
    </row>
    <row r="1631" spans="1:2" x14ac:dyDescent="0.35">
      <c r="A1631" s="85">
        <v>45393</v>
      </c>
      <c r="B1631">
        <v>0.21460000000000001</v>
      </c>
    </row>
    <row r="1632" spans="1:2" x14ac:dyDescent="0.35">
      <c r="A1632" s="85">
        <v>45394</v>
      </c>
      <c r="B1632">
        <v>0.20849999999999999</v>
      </c>
    </row>
    <row r="1633" spans="1:2" x14ac:dyDescent="0.35">
      <c r="A1633" s="85">
        <v>45397</v>
      </c>
      <c r="B1633">
        <v>0.20449999999999999</v>
      </c>
    </row>
    <row r="1634" spans="1:2" x14ac:dyDescent="0.35">
      <c r="A1634" s="85">
        <v>45398</v>
      </c>
      <c r="B1634">
        <v>0.20019999999999999</v>
      </c>
    </row>
    <row r="1635" spans="1:2" x14ac:dyDescent="0.35">
      <c r="A1635" s="85">
        <v>45399</v>
      </c>
      <c r="B1635">
        <v>0.1963</v>
      </c>
    </row>
    <row r="1636" spans="1:2" x14ac:dyDescent="0.35">
      <c r="A1636" s="85">
        <v>45400</v>
      </c>
      <c r="B1636">
        <v>0.19320000000000001</v>
      </c>
    </row>
    <row r="1637" spans="1:2" x14ac:dyDescent="0.35">
      <c r="A1637" s="85">
        <v>45401</v>
      </c>
      <c r="B1637">
        <v>0.19589999999999999</v>
      </c>
    </row>
    <row r="1638" spans="1:2" x14ac:dyDescent="0.35">
      <c r="A1638" s="85">
        <v>45404</v>
      </c>
      <c r="B1638">
        <v>0.1973</v>
      </c>
    </row>
    <row r="1639" spans="1:2" x14ac:dyDescent="0.35">
      <c r="A1639" s="85">
        <v>45405</v>
      </c>
      <c r="B1639">
        <v>0.19800000000000001</v>
      </c>
    </row>
    <row r="1640" spans="1:2" x14ac:dyDescent="0.35">
      <c r="A1640" s="85">
        <v>45406</v>
      </c>
      <c r="B1640">
        <v>0.19869999999999999</v>
      </c>
    </row>
    <row r="1641" spans="1:2" x14ac:dyDescent="0.35">
      <c r="A1641" s="85">
        <v>45407</v>
      </c>
      <c r="B1641">
        <v>0.19869999999999999</v>
      </c>
    </row>
    <row r="1642" spans="1:2" x14ac:dyDescent="0.35">
      <c r="A1642" s="85">
        <v>45408</v>
      </c>
      <c r="B1642">
        <v>0.19420000000000001</v>
      </c>
    </row>
    <row r="1643" spans="1:2" x14ac:dyDescent="0.35">
      <c r="A1643" s="85">
        <v>45411</v>
      </c>
      <c r="B1643">
        <v>0.19409999999999999</v>
      </c>
    </row>
    <row r="1644" spans="1:2" x14ac:dyDescent="0.35">
      <c r="A1644" s="85">
        <v>45412</v>
      </c>
      <c r="B1644">
        <v>0.19719999999999999</v>
      </c>
    </row>
    <row r="1645" spans="1:2" x14ac:dyDescent="0.35">
      <c r="A1645" s="85">
        <v>45413</v>
      </c>
      <c r="B1645">
        <v>0.19220000000000001</v>
      </c>
    </row>
    <row r="1646" spans="1:2" x14ac:dyDescent="0.35">
      <c r="A1646" s="85">
        <v>45414</v>
      </c>
      <c r="B1646">
        <v>0.19259999999999999</v>
      </c>
    </row>
    <row r="1647" spans="1:2" x14ac:dyDescent="0.35">
      <c r="A1647" s="85">
        <v>45415</v>
      </c>
      <c r="B1647">
        <v>0.19320000000000001</v>
      </c>
    </row>
    <row r="1648" spans="1:2" x14ac:dyDescent="0.35">
      <c r="A1648" s="85">
        <v>45418</v>
      </c>
      <c r="B1648">
        <v>0.1948</v>
      </c>
    </row>
    <row r="1649" spans="1:2" x14ac:dyDescent="0.35">
      <c r="A1649" s="85">
        <v>45419</v>
      </c>
      <c r="B1649">
        <v>0.19950000000000001</v>
      </c>
    </row>
    <row r="1650" spans="1:2" x14ac:dyDescent="0.35">
      <c r="A1650" s="85">
        <v>45420</v>
      </c>
      <c r="B1650">
        <v>0.1963</v>
      </c>
    </row>
    <row r="1651" spans="1:2" x14ac:dyDescent="0.35">
      <c r="A1651" s="85">
        <v>45421</v>
      </c>
      <c r="B1651">
        <v>0.19550000000000001</v>
      </c>
    </row>
    <row r="1652" spans="1:2" x14ac:dyDescent="0.35">
      <c r="A1652" s="85">
        <v>45422</v>
      </c>
      <c r="B1652">
        <v>0.19259999999999999</v>
      </c>
    </row>
    <row r="1653" spans="1:2" x14ac:dyDescent="0.35">
      <c r="A1653" s="85">
        <v>45425</v>
      </c>
      <c r="B1653">
        <v>0.1862</v>
      </c>
    </row>
    <row r="1654" spans="1:2" x14ac:dyDescent="0.35">
      <c r="A1654" s="85">
        <v>45426</v>
      </c>
      <c r="B1654">
        <v>0.189</v>
      </c>
    </row>
    <row r="1655" spans="1:2" x14ac:dyDescent="0.35">
      <c r="A1655" s="85">
        <v>45427</v>
      </c>
      <c r="B1655">
        <v>0.18629999999999999</v>
      </c>
    </row>
    <row r="1656" spans="1:2" x14ac:dyDescent="0.35">
      <c r="A1656" s="85">
        <v>45428</v>
      </c>
      <c r="B1656">
        <v>0.18329999999999999</v>
      </c>
    </row>
    <row r="1657" spans="1:2" x14ac:dyDescent="0.35">
      <c r="A1657" s="85">
        <v>45429</v>
      </c>
      <c r="B1657">
        <v>0.18099999999999999</v>
      </c>
    </row>
    <row r="1658" spans="1:2" x14ac:dyDescent="0.35">
      <c r="A1658" s="85">
        <v>45432</v>
      </c>
      <c r="B1658">
        <v>0.1867</v>
      </c>
    </row>
    <row r="1659" spans="1:2" x14ac:dyDescent="0.35">
      <c r="A1659" s="85">
        <v>45433</v>
      </c>
      <c r="B1659">
        <v>0.1857</v>
      </c>
    </row>
    <row r="1660" spans="1:2" x14ac:dyDescent="0.35">
      <c r="A1660" s="85">
        <v>45434</v>
      </c>
      <c r="B1660">
        <v>0.18210000000000001</v>
      </c>
    </row>
    <row r="1661" spans="1:2" x14ac:dyDescent="0.35">
      <c r="A1661" s="85">
        <v>45435</v>
      </c>
      <c r="B1661">
        <v>0.18260000000000001</v>
      </c>
    </row>
    <row r="1662" spans="1:2" x14ac:dyDescent="0.35">
      <c r="A1662" s="85">
        <v>45436</v>
      </c>
      <c r="B1662">
        <v>0.1845</v>
      </c>
    </row>
    <row r="1663" spans="1:2" x14ac:dyDescent="0.35">
      <c r="A1663" s="85">
        <v>45439</v>
      </c>
      <c r="B1663">
        <v>0.1845</v>
      </c>
    </row>
    <row r="1664" spans="1:2" x14ac:dyDescent="0.35">
      <c r="A1664" s="85">
        <v>45440</v>
      </c>
      <c r="B1664">
        <v>0.187</v>
      </c>
    </row>
    <row r="1665" spans="1:2" x14ac:dyDescent="0.35">
      <c r="A1665" s="85">
        <v>45441</v>
      </c>
      <c r="B1665">
        <v>0.1832</v>
      </c>
    </row>
    <row r="1666" spans="1:2" x14ac:dyDescent="0.35">
      <c r="A1666" s="85">
        <v>45442</v>
      </c>
      <c r="B1666">
        <v>0.18160000000000001</v>
      </c>
    </row>
    <row r="1667" spans="1:2" x14ac:dyDescent="0.35">
      <c r="A1667" s="85">
        <v>45443</v>
      </c>
      <c r="B1667">
        <v>0.1832</v>
      </c>
    </row>
    <row r="1668" spans="1:2" x14ac:dyDescent="0.35">
      <c r="A1668" s="85">
        <v>45446</v>
      </c>
      <c r="B1668">
        <v>0.18770000000000001</v>
      </c>
    </row>
    <row r="1669" spans="1:2" x14ac:dyDescent="0.35">
      <c r="A1669" s="85">
        <v>45447</v>
      </c>
      <c r="B1669">
        <v>0.18859999999999999</v>
      </c>
    </row>
    <row r="1670" spans="1:2" x14ac:dyDescent="0.35">
      <c r="A1670" s="85">
        <v>45448</v>
      </c>
      <c r="B1670">
        <v>0.19139999999999999</v>
      </c>
    </row>
    <row r="1671" spans="1:2" x14ac:dyDescent="0.35">
      <c r="A1671" s="85">
        <v>45449</v>
      </c>
      <c r="B1671">
        <v>0.19220000000000001</v>
      </c>
    </row>
    <row r="1672" spans="1:2" x14ac:dyDescent="0.35">
      <c r="A1672" s="85">
        <v>45450</v>
      </c>
      <c r="B1672">
        <v>0.18959999999999999</v>
      </c>
    </row>
    <row r="1673" spans="1:2" x14ac:dyDescent="0.35">
      <c r="A1673" s="85">
        <v>45453</v>
      </c>
      <c r="B1673">
        <v>0.18609999999999999</v>
      </c>
    </row>
    <row r="1674" spans="1:2" x14ac:dyDescent="0.35">
      <c r="A1674" s="85">
        <v>45454</v>
      </c>
      <c r="B1674">
        <v>0.18740000000000001</v>
      </c>
    </row>
    <row r="1675" spans="1:2" x14ac:dyDescent="0.35">
      <c r="A1675" s="85">
        <v>45455</v>
      </c>
      <c r="B1675">
        <v>0.19089999999999999</v>
      </c>
    </row>
    <row r="1676" spans="1:2" x14ac:dyDescent="0.35">
      <c r="A1676" s="85">
        <v>45456</v>
      </c>
      <c r="B1676">
        <v>0.1953</v>
      </c>
    </row>
    <row r="1677" spans="1:2" x14ac:dyDescent="0.35">
      <c r="A1677" s="85">
        <v>45457</v>
      </c>
      <c r="B1677">
        <v>0.19350000000000001</v>
      </c>
    </row>
    <row r="1678" spans="1:2" x14ac:dyDescent="0.35">
      <c r="A1678" s="85">
        <v>45460</v>
      </c>
      <c r="B1678">
        <v>0.18959999999999999</v>
      </c>
    </row>
    <row r="1679" spans="1:2" x14ac:dyDescent="0.35">
      <c r="A1679" s="85">
        <v>45461</v>
      </c>
      <c r="B1679">
        <v>0.189</v>
      </c>
    </row>
    <row r="1680" spans="1:2" x14ac:dyDescent="0.35">
      <c r="A1680" s="85">
        <v>45462</v>
      </c>
      <c r="B1680">
        <v>0.189</v>
      </c>
    </row>
    <row r="1681" spans="1:2" x14ac:dyDescent="0.35">
      <c r="A1681" s="85">
        <v>45463</v>
      </c>
      <c r="B1681">
        <v>0.18920000000000001</v>
      </c>
    </row>
    <row r="1682" spans="1:2" x14ac:dyDescent="0.35">
      <c r="A1682" s="85">
        <v>45464</v>
      </c>
      <c r="B1682">
        <v>0.18990000000000001</v>
      </c>
    </row>
    <row r="1683" spans="1:2" x14ac:dyDescent="0.35">
      <c r="A1683" s="85">
        <v>45467</v>
      </c>
      <c r="B1683">
        <v>0.19420000000000001</v>
      </c>
    </row>
    <row r="1684" spans="1:2" x14ac:dyDescent="0.35">
      <c r="A1684" s="85">
        <v>45468</v>
      </c>
      <c r="B1684">
        <v>0.19170000000000001</v>
      </c>
    </row>
    <row r="1685" spans="1:2" x14ac:dyDescent="0.35">
      <c r="A1685" s="85">
        <v>45469</v>
      </c>
      <c r="B1685">
        <v>0.19259999999999999</v>
      </c>
    </row>
    <row r="1686" spans="1:2" x14ac:dyDescent="0.35">
      <c r="A1686" s="85">
        <v>45470</v>
      </c>
      <c r="B1686">
        <v>0.20150000000000001</v>
      </c>
    </row>
    <row r="1687" spans="1:2" x14ac:dyDescent="0.35">
      <c r="A1687" s="85">
        <v>45471</v>
      </c>
      <c r="B1687">
        <v>0.20330000000000001</v>
      </c>
    </row>
    <row r="1688" spans="1:2" x14ac:dyDescent="0.35">
      <c r="A1688" s="85">
        <v>45474</v>
      </c>
      <c r="B1688">
        <v>0.20169999999999999</v>
      </c>
    </row>
    <row r="1689" spans="1:2" x14ac:dyDescent="0.35">
      <c r="A1689" s="85">
        <v>45475</v>
      </c>
      <c r="B1689">
        <v>0.20619999999999999</v>
      </c>
    </row>
    <row r="1690" spans="1:2" x14ac:dyDescent="0.35">
      <c r="A1690" s="85">
        <v>45476</v>
      </c>
      <c r="B1690">
        <v>0.20519999999999999</v>
      </c>
    </row>
    <row r="1691" spans="1:2" x14ac:dyDescent="0.35">
      <c r="A1691" s="85">
        <v>45477</v>
      </c>
      <c r="B1691">
        <v>0.20519999999999999</v>
      </c>
    </row>
    <row r="1692" spans="1:2" x14ac:dyDescent="0.35">
      <c r="A1692" s="85">
        <v>45478</v>
      </c>
      <c r="B1692">
        <v>0.20080000000000001</v>
      </c>
    </row>
    <row r="1693" spans="1:2" x14ac:dyDescent="0.35">
      <c r="A1693" s="85">
        <v>45481</v>
      </c>
      <c r="B1693">
        <v>0.20219999999999999</v>
      </c>
    </row>
    <row r="1694" spans="1:2" x14ac:dyDescent="0.35">
      <c r="A1694" s="85">
        <v>45482</v>
      </c>
      <c r="B1694">
        <v>0.19650000000000001</v>
      </c>
    </row>
    <row r="1695" spans="1:2" x14ac:dyDescent="0.35">
      <c r="A1695" s="85">
        <v>45483</v>
      </c>
      <c r="B1695">
        <v>0.1978</v>
      </c>
    </row>
    <row r="1696" spans="1:2" x14ac:dyDescent="0.35">
      <c r="A1696" s="85">
        <v>45484</v>
      </c>
      <c r="B1696">
        <v>0.19420000000000001</v>
      </c>
    </row>
    <row r="1697" spans="1:2" x14ac:dyDescent="0.35">
      <c r="A1697" s="85">
        <v>45485</v>
      </c>
      <c r="B1697">
        <v>0.192</v>
      </c>
    </row>
    <row r="1698" spans="1:2" x14ac:dyDescent="0.35">
      <c r="A1698" s="85">
        <v>45488</v>
      </c>
      <c r="B1698">
        <v>0.19789999999999999</v>
      </c>
    </row>
    <row r="1699" spans="1:2" x14ac:dyDescent="0.35">
      <c r="A1699" s="85">
        <v>45489</v>
      </c>
      <c r="B1699">
        <v>0.1963</v>
      </c>
    </row>
    <row r="1700" spans="1:2" x14ac:dyDescent="0.35">
      <c r="A1700" s="85">
        <v>45490</v>
      </c>
      <c r="B1700">
        <v>0.19370000000000001</v>
      </c>
    </row>
    <row r="1701" spans="1:2" x14ac:dyDescent="0.35">
      <c r="A1701" s="85">
        <v>45491</v>
      </c>
      <c r="B1701">
        <v>0.19009999999999999</v>
      </c>
    </row>
    <row r="1702" spans="1:2" x14ac:dyDescent="0.35">
      <c r="A1702" s="85">
        <v>45492</v>
      </c>
      <c r="B1702">
        <v>0.1867</v>
      </c>
    </row>
    <row r="1703" spans="1:2" x14ac:dyDescent="0.35">
      <c r="A1703" s="85">
        <v>45495</v>
      </c>
      <c r="B1703">
        <v>0.1832</v>
      </c>
    </row>
    <row r="1704" spans="1:2" x14ac:dyDescent="0.35">
      <c r="A1704" s="85">
        <v>45496</v>
      </c>
      <c r="B1704">
        <v>0.18179999999999999</v>
      </c>
    </row>
    <row r="1705" spans="1:2" x14ac:dyDescent="0.35">
      <c r="A1705" s="85">
        <v>45497</v>
      </c>
      <c r="B1705">
        <v>0.17949999999999999</v>
      </c>
    </row>
    <row r="1706" spans="1:2" x14ac:dyDescent="0.35">
      <c r="A1706" s="85">
        <v>45498</v>
      </c>
      <c r="B1706">
        <v>0.18659999999999999</v>
      </c>
    </row>
    <row r="1707" spans="1:2" x14ac:dyDescent="0.35">
      <c r="A1707" s="85">
        <v>45499</v>
      </c>
      <c r="B1707">
        <v>0.18479999999999999</v>
      </c>
    </row>
    <row r="1708" spans="1:2" x14ac:dyDescent="0.35">
      <c r="A1708" s="85">
        <v>45502</v>
      </c>
      <c r="B1708">
        <v>0.19</v>
      </c>
    </row>
    <row r="1709" spans="1:2" x14ac:dyDescent="0.35">
      <c r="A1709" s="85">
        <v>45503</v>
      </c>
      <c r="B1709">
        <v>0.1913</v>
      </c>
    </row>
    <row r="1710" spans="1:2" x14ac:dyDescent="0.35">
      <c r="A1710" s="85">
        <v>45504</v>
      </c>
      <c r="B1710">
        <v>0.19020000000000001</v>
      </c>
    </row>
    <row r="1711" spans="1:2" x14ac:dyDescent="0.35">
      <c r="A1711" s="85">
        <v>45505</v>
      </c>
      <c r="B1711">
        <v>0.1857</v>
      </c>
    </row>
    <row r="1712" spans="1:2" x14ac:dyDescent="0.35">
      <c r="A1712" s="85">
        <v>45506</v>
      </c>
      <c r="B1712">
        <v>0.1817</v>
      </c>
    </row>
    <row r="1713" spans="1:2" x14ac:dyDescent="0.35">
      <c r="A1713" s="85">
        <v>45509</v>
      </c>
      <c r="B1713">
        <v>0.18029999999999999</v>
      </c>
    </row>
    <row r="1714" spans="1:2" x14ac:dyDescent="0.35">
      <c r="A1714" s="85">
        <v>45510</v>
      </c>
      <c r="B1714">
        <v>0.17849999999999999</v>
      </c>
    </row>
    <row r="1715" spans="1:2" x14ac:dyDescent="0.35">
      <c r="A1715" s="85">
        <v>45511</v>
      </c>
      <c r="B1715">
        <v>0.18079999999999999</v>
      </c>
    </row>
    <row r="1716" spans="1:2" x14ac:dyDescent="0.35">
      <c r="A1716" s="85">
        <v>45512</v>
      </c>
      <c r="B1716">
        <v>0.1852</v>
      </c>
    </row>
    <row r="1717" spans="1:2" x14ac:dyDescent="0.35">
      <c r="A1717" s="85">
        <v>45513</v>
      </c>
      <c r="B1717">
        <v>0.18540000000000001</v>
      </c>
    </row>
    <row r="1718" spans="1:2" x14ac:dyDescent="0.35">
      <c r="A1718" s="85">
        <v>45516</v>
      </c>
      <c r="B1718">
        <v>0.18340000000000001</v>
      </c>
    </row>
    <row r="1719" spans="1:2" x14ac:dyDescent="0.35">
      <c r="A1719" s="85">
        <v>45517</v>
      </c>
      <c r="B1719">
        <v>0.18360000000000001</v>
      </c>
    </row>
    <row r="1720" spans="1:2" x14ac:dyDescent="0.35">
      <c r="A1720" s="85">
        <v>45518</v>
      </c>
      <c r="B1720">
        <v>0.17979999999999999</v>
      </c>
    </row>
    <row r="1721" spans="1:2" x14ac:dyDescent="0.35">
      <c r="A1721" s="85">
        <v>45519</v>
      </c>
      <c r="B1721">
        <v>0.17829999999999999</v>
      </c>
    </row>
    <row r="1722" spans="1:2" x14ac:dyDescent="0.35">
      <c r="A1722" s="85">
        <v>45520</v>
      </c>
      <c r="B1722">
        <v>0.18099999999999999</v>
      </c>
    </row>
    <row r="1723" spans="1:2" x14ac:dyDescent="0.35">
      <c r="A1723" s="85">
        <v>45523</v>
      </c>
      <c r="B1723">
        <v>0.1802</v>
      </c>
    </row>
    <row r="1724" spans="1:2" x14ac:dyDescent="0.35">
      <c r="A1724" s="85">
        <v>45524</v>
      </c>
      <c r="B1724">
        <v>0.1757</v>
      </c>
    </row>
    <row r="1725" spans="1:2" x14ac:dyDescent="0.35">
      <c r="A1725" s="85">
        <v>45525</v>
      </c>
      <c r="B1725">
        <v>0.17730000000000001</v>
      </c>
    </row>
    <row r="1726" spans="1:2" x14ac:dyDescent="0.35">
      <c r="A1726" s="85">
        <v>45526</v>
      </c>
      <c r="B1726">
        <v>0.1782</v>
      </c>
    </row>
    <row r="1727" spans="1:2" x14ac:dyDescent="0.35">
      <c r="A1727" s="85">
        <v>45527</v>
      </c>
      <c r="B1727">
        <v>0.184</v>
      </c>
    </row>
    <row r="1728" spans="1:2" x14ac:dyDescent="0.35">
      <c r="A1728" s="85">
        <v>45530</v>
      </c>
      <c r="B1728">
        <v>0.1903</v>
      </c>
    </row>
    <row r="1729" spans="1:2" x14ac:dyDescent="0.35">
      <c r="A1729" s="85">
        <v>45531</v>
      </c>
      <c r="B1729">
        <v>0.19670000000000001</v>
      </c>
    </row>
    <row r="1730" spans="1:2" x14ac:dyDescent="0.35">
      <c r="A1730" s="85">
        <v>45532</v>
      </c>
      <c r="B1730">
        <v>0.19589999999999999</v>
      </c>
    </row>
    <row r="1731" spans="1:2" x14ac:dyDescent="0.35">
      <c r="A1731" s="85">
        <v>45533</v>
      </c>
      <c r="B1731">
        <v>0.19839999999999999</v>
      </c>
    </row>
    <row r="1732" spans="1:2" x14ac:dyDescent="0.35">
      <c r="A1732" s="85">
        <v>45534</v>
      </c>
      <c r="B1732">
        <v>0.19439999999999999</v>
      </c>
    </row>
    <row r="1733" spans="1:2" x14ac:dyDescent="0.35">
      <c r="A1733" s="85">
        <v>45537</v>
      </c>
      <c r="B1733">
        <v>0.19439999999999999</v>
      </c>
    </row>
    <row r="1734" spans="1:2" x14ac:dyDescent="0.35">
      <c r="A1734" s="85">
        <v>45538</v>
      </c>
      <c r="B1734">
        <v>0.19400000000000001</v>
      </c>
    </row>
    <row r="1735" spans="1:2" x14ac:dyDescent="0.35">
      <c r="A1735" s="85">
        <v>45539</v>
      </c>
      <c r="B1735">
        <v>0.19259999999999999</v>
      </c>
    </row>
    <row r="1736" spans="1:2" x14ac:dyDescent="0.35">
      <c r="A1736" s="85">
        <v>45540</v>
      </c>
      <c r="B1736">
        <v>0.19270000000000001</v>
      </c>
    </row>
    <row r="1737" spans="1:2" x14ac:dyDescent="0.35">
      <c r="A1737" s="85">
        <v>45541</v>
      </c>
      <c r="B1737">
        <v>0.189</v>
      </c>
    </row>
    <row r="1738" spans="1:2" x14ac:dyDescent="0.35">
      <c r="A1738" s="85">
        <v>45544</v>
      </c>
      <c r="B1738">
        <v>0.18820000000000001</v>
      </c>
    </row>
    <row r="1739" spans="1:2" x14ac:dyDescent="0.35">
      <c r="A1739" s="85">
        <v>45545</v>
      </c>
      <c r="B1739">
        <v>0.18429999999999999</v>
      </c>
    </row>
    <row r="1740" spans="1:2" x14ac:dyDescent="0.35">
      <c r="A1740" s="85"/>
    </row>
    <row r="1741" spans="1:2" x14ac:dyDescent="0.35">
      <c r="A1741" s="85"/>
    </row>
    <row r="1742" spans="1:2" x14ac:dyDescent="0.35">
      <c r="A1742" s="85"/>
    </row>
    <row r="1743" spans="1:2" x14ac:dyDescent="0.35">
      <c r="A1743" s="85"/>
    </row>
    <row r="1744" spans="1:2" x14ac:dyDescent="0.35">
      <c r="A1744" s="85"/>
    </row>
    <row r="1745" spans="1:1" x14ac:dyDescent="0.35">
      <c r="A1745" s="85"/>
    </row>
    <row r="1746" spans="1:1" x14ac:dyDescent="0.35">
      <c r="A1746" s="85"/>
    </row>
    <row r="1747" spans="1:1" x14ac:dyDescent="0.35">
      <c r="A1747" s="85"/>
    </row>
    <row r="1748" spans="1:1" x14ac:dyDescent="0.35">
      <c r="A1748" s="85"/>
    </row>
    <row r="1749" spans="1:1" x14ac:dyDescent="0.35">
      <c r="A1749" s="85"/>
    </row>
    <row r="1750" spans="1:1" x14ac:dyDescent="0.35">
      <c r="A1750" s="85"/>
    </row>
    <row r="1751" spans="1:1" x14ac:dyDescent="0.35">
      <c r="A1751" s="85"/>
    </row>
    <row r="1752" spans="1:1" x14ac:dyDescent="0.35">
      <c r="A1752" s="85"/>
    </row>
    <row r="1753" spans="1:1" x14ac:dyDescent="0.35">
      <c r="A1753" s="85"/>
    </row>
    <row r="1754" spans="1:1" x14ac:dyDescent="0.35">
      <c r="A1754" s="85"/>
    </row>
    <row r="1755" spans="1:1" x14ac:dyDescent="0.35">
      <c r="A1755" s="85"/>
    </row>
    <row r="1756" spans="1:1" x14ac:dyDescent="0.35">
      <c r="A1756" s="85"/>
    </row>
    <row r="1757" spans="1:1" x14ac:dyDescent="0.35">
      <c r="A1757" s="85"/>
    </row>
    <row r="1758" spans="1:1" x14ac:dyDescent="0.35">
      <c r="A1758" s="85"/>
    </row>
    <row r="1759" spans="1:1" x14ac:dyDescent="0.35">
      <c r="A1759" s="85"/>
    </row>
    <row r="1760" spans="1:1" x14ac:dyDescent="0.35">
      <c r="A1760" s="85"/>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EF997-DF47-46B2-8316-D06ED8FF2BF7}">
  <dimension ref="A1:I1746"/>
  <sheetViews>
    <sheetView workbookViewId="0">
      <selection activeCell="C12" sqref="C12:I17"/>
    </sheetView>
  </sheetViews>
  <sheetFormatPr defaultRowHeight="14.5" x14ac:dyDescent="0.35"/>
  <cols>
    <col min="1" max="1" width="84" bestFit="1" customWidth="1"/>
  </cols>
  <sheetData>
    <row r="1" spans="1:9" x14ac:dyDescent="0.35">
      <c r="A1" t="s">
        <v>393</v>
      </c>
    </row>
    <row r="3" spans="1:9" x14ac:dyDescent="0.35">
      <c r="A3" t="s">
        <v>403</v>
      </c>
    </row>
    <row r="5" spans="1:9" x14ac:dyDescent="0.35">
      <c r="A5" t="s">
        <v>395</v>
      </c>
    </row>
    <row r="6" spans="1:9" x14ac:dyDescent="0.35">
      <c r="A6" t="s">
        <v>396</v>
      </c>
    </row>
    <row r="7" spans="1:9" x14ac:dyDescent="0.35">
      <c r="A7" t="s">
        <v>397</v>
      </c>
    </row>
    <row r="8" spans="1:9" x14ac:dyDescent="0.35">
      <c r="A8" t="s">
        <v>398</v>
      </c>
    </row>
    <row r="12" spans="1:9" x14ac:dyDescent="0.35">
      <c r="A12" t="s">
        <v>399</v>
      </c>
      <c r="C12">
        <v>2018</v>
      </c>
      <c r="D12">
        <v>2019</v>
      </c>
      <c r="E12">
        <v>2020</v>
      </c>
      <c r="F12">
        <v>2021</v>
      </c>
      <c r="G12">
        <v>2022</v>
      </c>
      <c r="H12">
        <v>2023</v>
      </c>
      <c r="I12">
        <v>2024</v>
      </c>
    </row>
    <row r="13" spans="1:9" x14ac:dyDescent="0.35">
      <c r="A13" t="s">
        <v>400</v>
      </c>
      <c r="C13">
        <f>D17</f>
        <v>4.9756765873015887</v>
      </c>
      <c r="D13">
        <f>AVERAGE(B269:B520)</f>
        <v>4.9413849206349205</v>
      </c>
      <c r="E13">
        <f>AVERAGE(B521:B773)</f>
        <v>5.4980454545454513</v>
      </c>
      <c r="F13">
        <f>AVERAGE(B774:B1028)</f>
        <v>7.0401862745098018</v>
      </c>
      <c r="G13">
        <f>AVERAGE(B1029:B1286)</f>
        <v>9.5239011627907004</v>
      </c>
      <c r="H13">
        <f>AVERAGE(B1287:B1543)</f>
        <v>7.2274918287937746</v>
      </c>
      <c r="I13">
        <f>AVERAGE(B1544:B1725)</f>
        <v>6.3670274725274725</v>
      </c>
    </row>
    <row r="16" spans="1:9" x14ac:dyDescent="0.35">
      <c r="A16" t="s">
        <v>401</v>
      </c>
      <c r="B16" t="s">
        <v>402</v>
      </c>
    </row>
    <row r="17" spans="1:6" x14ac:dyDescent="0.35">
      <c r="A17" s="85">
        <v>43102</v>
      </c>
      <c r="B17">
        <v>4.335</v>
      </c>
      <c r="D17">
        <f>AVERAGE(B17:B268)</f>
        <v>4.9756765873015887</v>
      </c>
      <c r="F17">
        <v>4.9756765873015887</v>
      </c>
    </row>
    <row r="18" spans="1:6" x14ac:dyDescent="0.35">
      <c r="A18" s="85">
        <v>43103</v>
      </c>
      <c r="B18">
        <v>4.3600000000000003</v>
      </c>
    </row>
    <row r="19" spans="1:6" x14ac:dyDescent="0.35">
      <c r="A19" s="85">
        <v>43104</v>
      </c>
      <c r="B19">
        <v>4.34</v>
      </c>
    </row>
    <row r="20" spans="1:6" x14ac:dyDescent="0.35">
      <c r="A20" s="85">
        <v>43105</v>
      </c>
      <c r="B20">
        <v>4.3075000000000001</v>
      </c>
    </row>
    <row r="21" spans="1:6" x14ac:dyDescent="0.35">
      <c r="A21" s="85">
        <v>43108</v>
      </c>
      <c r="B21">
        <v>4.2774999999999999</v>
      </c>
    </row>
    <row r="22" spans="1:6" x14ac:dyDescent="0.35">
      <c r="A22" s="85">
        <v>43109</v>
      </c>
      <c r="B22">
        <v>4.3224999999999998</v>
      </c>
    </row>
    <row r="23" spans="1:6" x14ac:dyDescent="0.35">
      <c r="A23" s="85">
        <v>43110</v>
      </c>
      <c r="B23">
        <v>4.3425000000000002</v>
      </c>
    </row>
    <row r="24" spans="1:6" x14ac:dyDescent="0.35">
      <c r="A24" s="85">
        <v>43111</v>
      </c>
      <c r="B24">
        <v>4.3324999999999996</v>
      </c>
    </row>
    <row r="25" spans="1:6" x14ac:dyDescent="0.35">
      <c r="A25" s="85">
        <v>43112</v>
      </c>
      <c r="B25">
        <v>4.2050000000000001</v>
      </c>
    </row>
    <row r="26" spans="1:6" x14ac:dyDescent="0.35">
      <c r="A26" s="85">
        <v>43116</v>
      </c>
      <c r="B26">
        <v>4.165</v>
      </c>
    </row>
    <row r="27" spans="1:6" x14ac:dyDescent="0.35">
      <c r="A27" s="85">
        <v>43117</v>
      </c>
      <c r="B27">
        <v>4.2149999999999999</v>
      </c>
    </row>
    <row r="28" spans="1:6" x14ac:dyDescent="0.35">
      <c r="A28" s="85">
        <v>43118</v>
      </c>
      <c r="B28">
        <v>4.2525000000000004</v>
      </c>
    </row>
    <row r="29" spans="1:6" x14ac:dyDescent="0.35">
      <c r="A29" s="85">
        <v>43119</v>
      </c>
      <c r="B29">
        <v>4.2275</v>
      </c>
    </row>
    <row r="30" spans="1:6" x14ac:dyDescent="0.35">
      <c r="A30" s="85">
        <v>43122</v>
      </c>
      <c r="B30">
        <v>4.2575000000000003</v>
      </c>
    </row>
    <row r="31" spans="1:6" x14ac:dyDescent="0.35">
      <c r="A31" s="85">
        <v>43123</v>
      </c>
      <c r="B31">
        <v>4.2149999999999999</v>
      </c>
    </row>
    <row r="32" spans="1:6" x14ac:dyDescent="0.35">
      <c r="A32" s="85">
        <v>43124</v>
      </c>
      <c r="B32">
        <v>4.33</v>
      </c>
    </row>
    <row r="33" spans="1:2" x14ac:dyDescent="0.35">
      <c r="A33" s="85">
        <v>43125</v>
      </c>
      <c r="B33">
        <v>4.3449999999999998</v>
      </c>
    </row>
    <row r="34" spans="1:2" x14ac:dyDescent="0.35">
      <c r="A34" s="85">
        <v>43126</v>
      </c>
      <c r="B34">
        <v>4.41</v>
      </c>
    </row>
    <row r="35" spans="1:2" x14ac:dyDescent="0.35">
      <c r="A35" s="85">
        <v>43129</v>
      </c>
      <c r="B35">
        <v>4.4924999999999997</v>
      </c>
    </row>
    <row r="36" spans="1:2" x14ac:dyDescent="0.35">
      <c r="A36" s="85">
        <v>43130</v>
      </c>
      <c r="B36">
        <v>4.5724999999999998</v>
      </c>
    </row>
    <row r="37" spans="1:2" x14ac:dyDescent="0.35">
      <c r="A37" s="85">
        <v>43131</v>
      </c>
      <c r="B37">
        <v>4.5175000000000001</v>
      </c>
    </row>
    <row r="38" spans="1:2" x14ac:dyDescent="0.35">
      <c r="A38" s="85">
        <v>43132</v>
      </c>
      <c r="B38">
        <v>4.51</v>
      </c>
    </row>
    <row r="39" spans="1:2" x14ac:dyDescent="0.35">
      <c r="A39" s="85">
        <v>43133</v>
      </c>
      <c r="B39">
        <v>4.4675000000000002</v>
      </c>
    </row>
    <row r="40" spans="1:2" x14ac:dyDescent="0.35">
      <c r="A40" s="85">
        <v>43136</v>
      </c>
      <c r="B40">
        <v>4.4024999999999999</v>
      </c>
    </row>
    <row r="41" spans="1:2" x14ac:dyDescent="0.35">
      <c r="A41" s="85">
        <v>43137</v>
      </c>
      <c r="B41">
        <v>4.4625000000000004</v>
      </c>
    </row>
    <row r="42" spans="1:2" x14ac:dyDescent="0.35">
      <c r="A42" s="85">
        <v>43138</v>
      </c>
      <c r="B42">
        <v>4.6050000000000004</v>
      </c>
    </row>
    <row r="43" spans="1:2" x14ac:dyDescent="0.35">
      <c r="A43" s="85">
        <v>43139</v>
      </c>
      <c r="B43">
        <v>4.5625</v>
      </c>
    </row>
    <row r="44" spans="1:2" x14ac:dyDescent="0.35">
      <c r="A44" s="85">
        <v>43140</v>
      </c>
      <c r="B44">
        <v>4.49</v>
      </c>
    </row>
    <row r="45" spans="1:2" x14ac:dyDescent="0.35">
      <c r="A45" s="85">
        <v>43143</v>
      </c>
      <c r="B45">
        <v>4.6399999999999997</v>
      </c>
    </row>
    <row r="46" spans="1:2" x14ac:dyDescent="0.35">
      <c r="A46" s="85">
        <v>43144</v>
      </c>
      <c r="B46">
        <v>4.6074999999999999</v>
      </c>
    </row>
    <row r="47" spans="1:2" x14ac:dyDescent="0.35">
      <c r="A47" s="85">
        <v>43145</v>
      </c>
      <c r="B47">
        <v>4.5575000000000001</v>
      </c>
    </row>
    <row r="48" spans="1:2" x14ac:dyDescent="0.35">
      <c r="A48" s="85">
        <v>43146</v>
      </c>
      <c r="B48">
        <v>4.6174999999999997</v>
      </c>
    </row>
    <row r="49" spans="1:2" x14ac:dyDescent="0.35">
      <c r="A49" s="85">
        <v>43147</v>
      </c>
      <c r="B49">
        <v>4.5774999999999997</v>
      </c>
    </row>
    <row r="50" spans="1:2" x14ac:dyDescent="0.35">
      <c r="A50" s="85">
        <v>43151</v>
      </c>
      <c r="B50">
        <v>4.4924999999999997</v>
      </c>
    </row>
    <row r="51" spans="1:2" x14ac:dyDescent="0.35">
      <c r="A51" s="85">
        <v>43152</v>
      </c>
      <c r="B51">
        <v>4.4725000000000001</v>
      </c>
    </row>
    <row r="52" spans="1:2" x14ac:dyDescent="0.35">
      <c r="A52" s="85">
        <v>43153</v>
      </c>
      <c r="B52">
        <v>4.5125000000000002</v>
      </c>
    </row>
    <row r="53" spans="1:2" x14ac:dyDescent="0.35">
      <c r="A53" s="85">
        <v>43154</v>
      </c>
      <c r="B53">
        <v>4.5465</v>
      </c>
    </row>
    <row r="54" spans="1:2" x14ac:dyDescent="0.35">
      <c r="A54" s="85">
        <v>43157</v>
      </c>
      <c r="B54">
        <v>4.6479999999999997</v>
      </c>
    </row>
    <row r="55" spans="1:2" x14ac:dyDescent="0.35">
      <c r="A55" s="85">
        <v>43158</v>
      </c>
      <c r="B55">
        <v>4.7149999999999999</v>
      </c>
    </row>
    <row r="56" spans="1:2" x14ac:dyDescent="0.35">
      <c r="A56" s="85">
        <v>43159</v>
      </c>
      <c r="B56">
        <v>4.9290000000000003</v>
      </c>
    </row>
    <row r="57" spans="1:2" x14ac:dyDescent="0.35">
      <c r="A57" s="85">
        <v>43160</v>
      </c>
      <c r="B57">
        <v>5.1550000000000002</v>
      </c>
    </row>
    <row r="58" spans="1:2" x14ac:dyDescent="0.35">
      <c r="A58" s="85">
        <v>43161</v>
      </c>
      <c r="B58">
        <v>5</v>
      </c>
    </row>
    <row r="59" spans="1:2" x14ac:dyDescent="0.35">
      <c r="A59" s="85">
        <v>43164</v>
      </c>
      <c r="B59">
        <v>5.0925000000000002</v>
      </c>
    </row>
    <row r="60" spans="1:2" x14ac:dyDescent="0.35">
      <c r="A60" s="85">
        <v>43165</v>
      </c>
      <c r="B60">
        <v>5.07</v>
      </c>
    </row>
    <row r="61" spans="1:2" x14ac:dyDescent="0.35">
      <c r="A61" s="85">
        <v>43166</v>
      </c>
      <c r="B61">
        <v>4.9725000000000001</v>
      </c>
    </row>
    <row r="62" spans="1:2" x14ac:dyDescent="0.35">
      <c r="A62" s="85">
        <v>43167</v>
      </c>
      <c r="B62">
        <v>4.9924999999999997</v>
      </c>
    </row>
    <row r="63" spans="1:2" x14ac:dyDescent="0.35">
      <c r="A63" s="85">
        <v>43168</v>
      </c>
      <c r="B63">
        <v>4.8925000000000001</v>
      </c>
    </row>
    <row r="64" spans="1:2" x14ac:dyDescent="0.35">
      <c r="A64" s="85">
        <v>43171</v>
      </c>
      <c r="B64">
        <v>4.9074999999999998</v>
      </c>
    </row>
    <row r="65" spans="1:2" x14ac:dyDescent="0.35">
      <c r="A65" s="85">
        <v>43172</v>
      </c>
      <c r="B65">
        <v>4.8650000000000002</v>
      </c>
    </row>
    <row r="66" spans="1:2" x14ac:dyDescent="0.35">
      <c r="A66" s="85">
        <v>43173</v>
      </c>
      <c r="B66">
        <v>4.8875000000000002</v>
      </c>
    </row>
    <row r="67" spans="1:2" x14ac:dyDescent="0.35">
      <c r="A67" s="85">
        <v>43174</v>
      </c>
      <c r="B67">
        <v>4.7874999999999996</v>
      </c>
    </row>
    <row r="68" spans="1:2" x14ac:dyDescent="0.35">
      <c r="A68" s="85">
        <v>43175</v>
      </c>
      <c r="B68">
        <v>4.6775000000000002</v>
      </c>
    </row>
    <row r="69" spans="1:2" x14ac:dyDescent="0.35">
      <c r="A69" s="85">
        <v>43178</v>
      </c>
      <c r="B69">
        <v>4.5075000000000003</v>
      </c>
    </row>
    <row r="70" spans="1:2" x14ac:dyDescent="0.35">
      <c r="A70" s="85">
        <v>43179</v>
      </c>
      <c r="B70">
        <v>4.53</v>
      </c>
    </row>
    <row r="71" spans="1:2" x14ac:dyDescent="0.35">
      <c r="A71" s="85">
        <v>43180</v>
      </c>
      <c r="B71">
        <v>4.5350000000000001</v>
      </c>
    </row>
    <row r="72" spans="1:2" x14ac:dyDescent="0.35">
      <c r="A72" s="85">
        <v>43181</v>
      </c>
      <c r="B72">
        <v>4.5575000000000001</v>
      </c>
    </row>
    <row r="73" spans="1:2" x14ac:dyDescent="0.35">
      <c r="A73" s="85">
        <v>43182</v>
      </c>
      <c r="B73">
        <v>4.6025</v>
      </c>
    </row>
    <row r="74" spans="1:2" x14ac:dyDescent="0.35">
      <c r="A74" s="85">
        <v>43185</v>
      </c>
      <c r="B74">
        <v>4.5425000000000004</v>
      </c>
    </row>
    <row r="75" spans="1:2" x14ac:dyDescent="0.35">
      <c r="A75" s="85">
        <v>43186</v>
      </c>
      <c r="B75">
        <v>4.49</v>
      </c>
    </row>
    <row r="76" spans="1:2" x14ac:dyDescent="0.35">
      <c r="A76" s="85">
        <v>43187</v>
      </c>
      <c r="B76">
        <v>4.4550000000000001</v>
      </c>
    </row>
    <row r="77" spans="1:2" x14ac:dyDescent="0.35">
      <c r="A77" s="85">
        <v>43188</v>
      </c>
      <c r="B77">
        <v>4.51</v>
      </c>
    </row>
    <row r="78" spans="1:2" x14ac:dyDescent="0.35">
      <c r="A78" s="85">
        <v>43192</v>
      </c>
      <c r="B78">
        <v>4.4625000000000004</v>
      </c>
    </row>
    <row r="79" spans="1:2" x14ac:dyDescent="0.35">
      <c r="A79" s="85">
        <v>43193</v>
      </c>
      <c r="B79">
        <v>4.5750000000000002</v>
      </c>
    </row>
    <row r="80" spans="1:2" x14ac:dyDescent="0.35">
      <c r="A80" s="85">
        <v>43194</v>
      </c>
      <c r="B80">
        <v>4.5575000000000001</v>
      </c>
    </row>
    <row r="81" spans="1:2" x14ac:dyDescent="0.35">
      <c r="A81" s="85">
        <v>43195</v>
      </c>
      <c r="B81">
        <v>4.6475</v>
      </c>
    </row>
    <row r="82" spans="1:2" x14ac:dyDescent="0.35">
      <c r="A82" s="85">
        <v>43196</v>
      </c>
      <c r="B82">
        <v>4.7225000000000001</v>
      </c>
    </row>
    <row r="83" spans="1:2" x14ac:dyDescent="0.35">
      <c r="A83" s="85">
        <v>43199</v>
      </c>
      <c r="B83">
        <v>4.9074999999999998</v>
      </c>
    </row>
    <row r="84" spans="1:2" x14ac:dyDescent="0.35">
      <c r="A84" s="85">
        <v>43200</v>
      </c>
      <c r="B84">
        <v>4.92</v>
      </c>
    </row>
    <row r="85" spans="1:2" x14ac:dyDescent="0.35">
      <c r="A85" s="85">
        <v>43201</v>
      </c>
      <c r="B85">
        <v>4.8724999999999996</v>
      </c>
    </row>
    <row r="86" spans="1:2" x14ac:dyDescent="0.35">
      <c r="A86" s="85">
        <v>43202</v>
      </c>
      <c r="B86">
        <v>4.8099999999999996</v>
      </c>
    </row>
    <row r="87" spans="1:2" x14ac:dyDescent="0.35">
      <c r="A87" s="85">
        <v>43203</v>
      </c>
      <c r="B87">
        <v>4.7249999999999996</v>
      </c>
    </row>
    <row r="88" spans="1:2" x14ac:dyDescent="0.35">
      <c r="A88" s="85">
        <v>43206</v>
      </c>
      <c r="B88">
        <v>4.6224999999999996</v>
      </c>
    </row>
    <row r="89" spans="1:2" x14ac:dyDescent="0.35">
      <c r="A89" s="85">
        <v>43207</v>
      </c>
      <c r="B89">
        <v>4.6624999999999996</v>
      </c>
    </row>
    <row r="90" spans="1:2" x14ac:dyDescent="0.35">
      <c r="A90" s="85">
        <v>43208</v>
      </c>
      <c r="B90">
        <v>4.7525000000000004</v>
      </c>
    </row>
    <row r="91" spans="1:2" x14ac:dyDescent="0.35">
      <c r="A91" s="85">
        <v>43209</v>
      </c>
      <c r="B91">
        <v>4.7675000000000001</v>
      </c>
    </row>
    <row r="92" spans="1:2" x14ac:dyDescent="0.35">
      <c r="A92" s="85">
        <v>43210</v>
      </c>
      <c r="B92">
        <v>4.6325000000000003</v>
      </c>
    </row>
    <row r="93" spans="1:2" x14ac:dyDescent="0.35">
      <c r="A93" s="85">
        <v>43213</v>
      </c>
      <c r="B93">
        <v>4.6150000000000002</v>
      </c>
    </row>
    <row r="94" spans="1:2" x14ac:dyDescent="0.35">
      <c r="A94" s="85">
        <v>43214</v>
      </c>
      <c r="B94">
        <v>4.7249999999999996</v>
      </c>
    </row>
    <row r="95" spans="1:2" x14ac:dyDescent="0.35">
      <c r="A95" s="85">
        <v>43215</v>
      </c>
      <c r="B95">
        <v>4.8879999999999999</v>
      </c>
    </row>
    <row r="96" spans="1:2" x14ac:dyDescent="0.35">
      <c r="A96" s="85">
        <v>43216</v>
      </c>
      <c r="B96">
        <v>4.8425000000000002</v>
      </c>
    </row>
    <row r="97" spans="1:2" x14ac:dyDescent="0.35">
      <c r="A97" s="85">
        <v>43217</v>
      </c>
      <c r="B97">
        <v>4.9729999999999999</v>
      </c>
    </row>
    <row r="98" spans="1:2" x14ac:dyDescent="0.35">
      <c r="A98" s="85">
        <v>43220</v>
      </c>
      <c r="B98">
        <v>5.109</v>
      </c>
    </row>
    <row r="99" spans="1:2" x14ac:dyDescent="0.35">
      <c r="A99" s="85">
        <v>43221</v>
      </c>
      <c r="B99">
        <v>5.2925000000000004</v>
      </c>
    </row>
    <row r="100" spans="1:2" x14ac:dyDescent="0.35">
      <c r="A100" s="85">
        <v>43222</v>
      </c>
      <c r="B100">
        <v>5.2675000000000001</v>
      </c>
    </row>
    <row r="101" spans="1:2" x14ac:dyDescent="0.35">
      <c r="A101" s="85">
        <v>43223</v>
      </c>
      <c r="B101">
        <v>5.38</v>
      </c>
    </row>
    <row r="102" spans="1:2" x14ac:dyDescent="0.35">
      <c r="A102" s="85">
        <v>43224</v>
      </c>
      <c r="B102">
        <v>5.2625000000000002</v>
      </c>
    </row>
    <row r="103" spans="1:2" x14ac:dyDescent="0.35">
      <c r="A103" s="85">
        <v>43227</v>
      </c>
      <c r="B103">
        <v>5.1150000000000002</v>
      </c>
    </row>
    <row r="104" spans="1:2" x14ac:dyDescent="0.35">
      <c r="A104" s="85">
        <v>43228</v>
      </c>
      <c r="B104">
        <v>5.1449999999999996</v>
      </c>
    </row>
    <row r="105" spans="1:2" x14ac:dyDescent="0.35">
      <c r="A105" s="85">
        <v>43229</v>
      </c>
      <c r="B105">
        <v>5.1050000000000004</v>
      </c>
    </row>
    <row r="106" spans="1:2" x14ac:dyDescent="0.35">
      <c r="A106" s="85">
        <v>43230</v>
      </c>
      <c r="B106">
        <v>5.0650000000000004</v>
      </c>
    </row>
    <row r="107" spans="1:2" x14ac:dyDescent="0.35">
      <c r="A107" s="85">
        <v>43231</v>
      </c>
      <c r="B107">
        <v>4.9874999999999998</v>
      </c>
    </row>
    <row r="108" spans="1:2" x14ac:dyDescent="0.35">
      <c r="A108" s="85">
        <v>43234</v>
      </c>
      <c r="B108">
        <v>4.9124999999999996</v>
      </c>
    </row>
    <row r="109" spans="1:2" x14ac:dyDescent="0.35">
      <c r="A109" s="85">
        <v>43235</v>
      </c>
      <c r="B109">
        <v>4.9349999999999996</v>
      </c>
    </row>
    <row r="110" spans="1:2" x14ac:dyDescent="0.35">
      <c r="A110" s="85">
        <v>43236</v>
      </c>
      <c r="B110">
        <v>4.9424999999999999</v>
      </c>
    </row>
    <row r="111" spans="1:2" x14ac:dyDescent="0.35">
      <c r="A111" s="85">
        <v>43237</v>
      </c>
      <c r="B111">
        <v>4.9749999999999996</v>
      </c>
    </row>
    <row r="112" spans="1:2" x14ac:dyDescent="0.35">
      <c r="A112" s="85">
        <v>43238</v>
      </c>
      <c r="B112">
        <v>5.1825000000000001</v>
      </c>
    </row>
    <row r="113" spans="1:2" x14ac:dyDescent="0.35">
      <c r="A113" s="85">
        <v>43241</v>
      </c>
      <c r="B113">
        <v>5.0724999999999998</v>
      </c>
    </row>
    <row r="114" spans="1:2" x14ac:dyDescent="0.35">
      <c r="A114" s="85">
        <v>43242</v>
      </c>
      <c r="B114">
        <v>5.2149999999999999</v>
      </c>
    </row>
    <row r="115" spans="1:2" x14ac:dyDescent="0.35">
      <c r="A115" s="85">
        <v>43243</v>
      </c>
      <c r="B115">
        <v>5.31</v>
      </c>
    </row>
    <row r="116" spans="1:2" x14ac:dyDescent="0.35">
      <c r="A116" s="85">
        <v>43244</v>
      </c>
      <c r="B116">
        <v>5.3025000000000002</v>
      </c>
    </row>
    <row r="117" spans="1:2" x14ac:dyDescent="0.35">
      <c r="A117" s="85">
        <v>43245</v>
      </c>
      <c r="B117">
        <v>5.43</v>
      </c>
    </row>
    <row r="118" spans="1:2" x14ac:dyDescent="0.35">
      <c r="A118" s="85">
        <v>43249</v>
      </c>
      <c r="B118">
        <v>5.3650000000000002</v>
      </c>
    </row>
    <row r="119" spans="1:2" x14ac:dyDescent="0.35">
      <c r="A119" s="85">
        <v>43250</v>
      </c>
      <c r="B119">
        <v>5.22</v>
      </c>
    </row>
    <row r="120" spans="1:2" x14ac:dyDescent="0.35">
      <c r="A120" s="85">
        <v>43251</v>
      </c>
      <c r="B120">
        <v>5.2625000000000002</v>
      </c>
    </row>
    <row r="121" spans="1:2" x14ac:dyDescent="0.35">
      <c r="A121" s="85">
        <v>43252</v>
      </c>
      <c r="B121">
        <v>5.2324999999999999</v>
      </c>
    </row>
    <row r="122" spans="1:2" x14ac:dyDescent="0.35">
      <c r="A122" s="85">
        <v>43255</v>
      </c>
      <c r="B122">
        <v>5.0525000000000002</v>
      </c>
    </row>
    <row r="123" spans="1:2" x14ac:dyDescent="0.35">
      <c r="A123" s="85">
        <v>43256</v>
      </c>
      <c r="B123">
        <v>5.0999999999999996</v>
      </c>
    </row>
    <row r="124" spans="1:2" x14ac:dyDescent="0.35">
      <c r="A124" s="85">
        <v>43257</v>
      </c>
      <c r="B124">
        <v>5.1974999999999998</v>
      </c>
    </row>
    <row r="125" spans="1:2" x14ac:dyDescent="0.35">
      <c r="A125" s="85">
        <v>43258</v>
      </c>
      <c r="B125">
        <v>5.2675000000000001</v>
      </c>
    </row>
    <row r="126" spans="1:2" x14ac:dyDescent="0.35">
      <c r="A126" s="85">
        <v>43259</v>
      </c>
      <c r="B126">
        <v>5.2</v>
      </c>
    </row>
    <row r="127" spans="1:2" x14ac:dyDescent="0.35">
      <c r="A127" s="85">
        <v>43262</v>
      </c>
      <c r="B127">
        <v>5.1449999999999996</v>
      </c>
    </row>
    <row r="128" spans="1:2" x14ac:dyDescent="0.35">
      <c r="A128" s="85">
        <v>43263</v>
      </c>
      <c r="B128">
        <v>5.3449999999999998</v>
      </c>
    </row>
    <row r="129" spans="1:2" x14ac:dyDescent="0.35">
      <c r="A129" s="85">
        <v>43264</v>
      </c>
      <c r="B129">
        <v>5.165</v>
      </c>
    </row>
    <row r="130" spans="1:2" x14ac:dyDescent="0.35">
      <c r="A130" s="85">
        <v>43265</v>
      </c>
      <c r="B130">
        <v>5.0149999999999997</v>
      </c>
    </row>
    <row r="131" spans="1:2" x14ac:dyDescent="0.35">
      <c r="A131" s="85">
        <v>43266</v>
      </c>
      <c r="B131">
        <v>4.9950000000000001</v>
      </c>
    </row>
    <row r="132" spans="1:2" x14ac:dyDescent="0.35">
      <c r="A132" s="85">
        <v>43269</v>
      </c>
      <c r="B132">
        <v>4.9000000000000004</v>
      </c>
    </row>
    <row r="133" spans="1:2" x14ac:dyDescent="0.35">
      <c r="A133" s="85">
        <v>43270</v>
      </c>
      <c r="B133">
        <v>4.7774999999999999</v>
      </c>
    </row>
    <row r="134" spans="1:2" x14ac:dyDescent="0.35">
      <c r="A134" s="85">
        <v>43271</v>
      </c>
      <c r="B134">
        <v>4.8825000000000003</v>
      </c>
    </row>
    <row r="135" spans="1:2" x14ac:dyDescent="0.35">
      <c r="A135" s="85">
        <v>43272</v>
      </c>
      <c r="B135">
        <v>4.9524999999999997</v>
      </c>
    </row>
    <row r="136" spans="1:2" x14ac:dyDescent="0.35">
      <c r="A136" s="85">
        <v>43273</v>
      </c>
      <c r="B136">
        <v>4.9124999999999996</v>
      </c>
    </row>
    <row r="137" spans="1:2" x14ac:dyDescent="0.35">
      <c r="A137" s="85">
        <v>43276</v>
      </c>
      <c r="B137">
        <v>4.7675000000000001</v>
      </c>
    </row>
    <row r="138" spans="1:2" x14ac:dyDescent="0.35">
      <c r="A138" s="85">
        <v>43277</v>
      </c>
      <c r="B138">
        <v>4.7220000000000004</v>
      </c>
    </row>
    <row r="139" spans="1:2" x14ac:dyDescent="0.35">
      <c r="A139" s="85">
        <v>43278</v>
      </c>
      <c r="B139">
        <v>4.8310000000000004</v>
      </c>
    </row>
    <row r="140" spans="1:2" x14ac:dyDescent="0.35">
      <c r="A140" s="85">
        <v>43279</v>
      </c>
      <c r="B140">
        <v>4.819</v>
      </c>
    </row>
    <row r="141" spans="1:2" x14ac:dyDescent="0.35">
      <c r="A141" s="85">
        <v>43280</v>
      </c>
      <c r="B141">
        <v>5.0049999999999999</v>
      </c>
    </row>
    <row r="142" spans="1:2" x14ac:dyDescent="0.35">
      <c r="A142" s="85">
        <v>43283</v>
      </c>
      <c r="B142">
        <v>4.8025000000000002</v>
      </c>
    </row>
    <row r="143" spans="1:2" x14ac:dyDescent="0.35">
      <c r="A143" s="85">
        <v>43284</v>
      </c>
      <c r="B143">
        <v>4.91</v>
      </c>
    </row>
    <row r="144" spans="1:2" x14ac:dyDescent="0.35">
      <c r="A144" s="85">
        <v>43286</v>
      </c>
      <c r="B144">
        <v>5.0549999999999997</v>
      </c>
    </row>
    <row r="145" spans="1:2" x14ac:dyDescent="0.35">
      <c r="A145" s="85">
        <v>43287</v>
      </c>
      <c r="B145">
        <v>5.1524999999999999</v>
      </c>
    </row>
    <row r="146" spans="1:2" x14ac:dyDescent="0.35">
      <c r="A146" s="85">
        <v>43290</v>
      </c>
      <c r="B146">
        <v>5.08</v>
      </c>
    </row>
    <row r="147" spans="1:2" x14ac:dyDescent="0.35">
      <c r="A147" s="85">
        <v>43291</v>
      </c>
      <c r="B147">
        <v>4.92</v>
      </c>
    </row>
    <row r="148" spans="1:2" x14ac:dyDescent="0.35">
      <c r="A148" s="85">
        <v>43292</v>
      </c>
      <c r="B148">
        <v>4.7175000000000002</v>
      </c>
    </row>
    <row r="149" spans="1:2" x14ac:dyDescent="0.35">
      <c r="A149" s="85">
        <v>43293</v>
      </c>
      <c r="B149">
        <v>4.8449999999999998</v>
      </c>
    </row>
    <row r="150" spans="1:2" x14ac:dyDescent="0.35">
      <c r="A150" s="85">
        <v>43294</v>
      </c>
      <c r="B150">
        <v>4.97</v>
      </c>
    </row>
    <row r="151" spans="1:2" x14ac:dyDescent="0.35">
      <c r="A151" s="85">
        <v>43297</v>
      </c>
      <c r="B151">
        <v>4.8849999999999998</v>
      </c>
    </row>
    <row r="152" spans="1:2" x14ac:dyDescent="0.35">
      <c r="A152" s="85">
        <v>43298</v>
      </c>
      <c r="B152">
        <v>4.9775</v>
      </c>
    </row>
    <row r="153" spans="1:2" x14ac:dyDescent="0.35">
      <c r="A153" s="85">
        <v>43299</v>
      </c>
      <c r="B153">
        <v>4.9450000000000003</v>
      </c>
    </row>
    <row r="154" spans="1:2" x14ac:dyDescent="0.35">
      <c r="A154" s="85">
        <v>43300</v>
      </c>
      <c r="B154">
        <v>5.0425000000000004</v>
      </c>
    </row>
    <row r="155" spans="1:2" x14ac:dyDescent="0.35">
      <c r="A155" s="85">
        <v>43301</v>
      </c>
      <c r="B155">
        <v>5.16</v>
      </c>
    </row>
    <row r="156" spans="1:2" x14ac:dyDescent="0.35">
      <c r="A156" s="85">
        <v>43304</v>
      </c>
      <c r="B156">
        <v>5.1375000000000002</v>
      </c>
    </row>
    <row r="157" spans="1:2" x14ac:dyDescent="0.35">
      <c r="A157" s="85">
        <v>43305</v>
      </c>
      <c r="B157">
        <v>5.1025</v>
      </c>
    </row>
    <row r="158" spans="1:2" x14ac:dyDescent="0.35">
      <c r="A158" s="85">
        <v>43306</v>
      </c>
      <c r="B158">
        <v>5.4275000000000002</v>
      </c>
    </row>
    <row r="159" spans="1:2" x14ac:dyDescent="0.35">
      <c r="A159" s="85">
        <v>43307</v>
      </c>
      <c r="B159">
        <v>5.3650000000000002</v>
      </c>
    </row>
    <row r="160" spans="1:2" x14ac:dyDescent="0.35">
      <c r="A160" s="85">
        <v>43308</v>
      </c>
      <c r="B160">
        <v>5.3049999999999997</v>
      </c>
    </row>
    <row r="161" spans="1:2" x14ac:dyDescent="0.35">
      <c r="A161" s="85">
        <v>43311</v>
      </c>
      <c r="B161">
        <v>5.4649999999999999</v>
      </c>
    </row>
    <row r="162" spans="1:2" x14ac:dyDescent="0.35">
      <c r="A162" s="85">
        <v>43312</v>
      </c>
      <c r="B162">
        <v>5.5374999999999996</v>
      </c>
    </row>
    <row r="163" spans="1:2" x14ac:dyDescent="0.35">
      <c r="A163" s="85">
        <v>43313</v>
      </c>
      <c r="B163">
        <v>5.5824999999999996</v>
      </c>
    </row>
    <row r="164" spans="1:2" x14ac:dyDescent="0.35">
      <c r="A164" s="85">
        <v>43314</v>
      </c>
      <c r="B164">
        <v>5.6050000000000004</v>
      </c>
    </row>
    <row r="165" spans="1:2" x14ac:dyDescent="0.35">
      <c r="A165" s="85">
        <v>43315</v>
      </c>
      <c r="B165">
        <v>5.5625</v>
      </c>
    </row>
    <row r="166" spans="1:2" x14ac:dyDescent="0.35">
      <c r="A166" s="85">
        <v>43318</v>
      </c>
      <c r="B166">
        <v>5.7450000000000001</v>
      </c>
    </row>
    <row r="167" spans="1:2" x14ac:dyDescent="0.35">
      <c r="A167" s="85">
        <v>43319</v>
      </c>
      <c r="B167">
        <v>5.6825000000000001</v>
      </c>
    </row>
    <row r="168" spans="1:2" x14ac:dyDescent="0.35">
      <c r="A168" s="85">
        <v>43320</v>
      </c>
      <c r="B168">
        <v>5.7</v>
      </c>
    </row>
    <row r="169" spans="1:2" x14ac:dyDescent="0.35">
      <c r="A169" s="85">
        <v>43321</v>
      </c>
      <c r="B169">
        <v>5.6449999999999996</v>
      </c>
    </row>
    <row r="170" spans="1:2" x14ac:dyDescent="0.35">
      <c r="A170" s="85">
        <v>43322</v>
      </c>
      <c r="B170">
        <v>5.4675000000000002</v>
      </c>
    </row>
    <row r="171" spans="1:2" x14ac:dyDescent="0.35">
      <c r="A171" s="85">
        <v>43325</v>
      </c>
      <c r="B171">
        <v>5.335</v>
      </c>
    </row>
    <row r="172" spans="1:2" x14ac:dyDescent="0.35">
      <c r="A172" s="85">
        <v>43326</v>
      </c>
      <c r="B172">
        <v>5.4175000000000004</v>
      </c>
    </row>
    <row r="173" spans="1:2" x14ac:dyDescent="0.35">
      <c r="A173" s="85">
        <v>43327</v>
      </c>
      <c r="B173">
        <v>5.3224999999999998</v>
      </c>
    </row>
    <row r="174" spans="1:2" x14ac:dyDescent="0.35">
      <c r="A174" s="85">
        <v>43328</v>
      </c>
      <c r="B174">
        <v>5.4225000000000003</v>
      </c>
    </row>
    <row r="175" spans="1:2" x14ac:dyDescent="0.35">
      <c r="A175" s="85">
        <v>43329</v>
      </c>
      <c r="B175">
        <v>5.6050000000000004</v>
      </c>
    </row>
    <row r="176" spans="1:2" x14ac:dyDescent="0.35">
      <c r="A176" s="85">
        <v>43332</v>
      </c>
      <c r="B176">
        <v>5.4225000000000003</v>
      </c>
    </row>
    <row r="177" spans="1:2" x14ac:dyDescent="0.35">
      <c r="A177" s="85">
        <v>43333</v>
      </c>
      <c r="B177">
        <v>5.2725</v>
      </c>
    </row>
    <row r="178" spans="1:2" x14ac:dyDescent="0.35">
      <c r="A178" s="85">
        <v>43334</v>
      </c>
      <c r="B178">
        <v>5.26</v>
      </c>
    </row>
    <row r="179" spans="1:2" x14ac:dyDescent="0.35">
      <c r="A179" s="85">
        <v>43335</v>
      </c>
      <c r="B179">
        <v>5.22</v>
      </c>
    </row>
    <row r="180" spans="1:2" x14ac:dyDescent="0.35">
      <c r="A180" s="85">
        <v>43336</v>
      </c>
      <c r="B180">
        <v>5.1475</v>
      </c>
    </row>
    <row r="181" spans="1:2" x14ac:dyDescent="0.35">
      <c r="A181" s="85">
        <v>43339</v>
      </c>
      <c r="B181">
        <v>4.9924999999999997</v>
      </c>
    </row>
    <row r="182" spans="1:2" x14ac:dyDescent="0.35">
      <c r="A182" s="85">
        <v>43340</v>
      </c>
      <c r="B182">
        <v>5.0324999999999998</v>
      </c>
    </row>
    <row r="183" spans="1:2" x14ac:dyDescent="0.35">
      <c r="A183" s="85">
        <v>43341</v>
      </c>
      <c r="B183">
        <v>5.2614999999999998</v>
      </c>
    </row>
    <row r="184" spans="1:2" x14ac:dyDescent="0.35">
      <c r="A184" s="85">
        <v>43342</v>
      </c>
      <c r="B184">
        <v>5.242</v>
      </c>
    </row>
    <row r="185" spans="1:2" x14ac:dyDescent="0.35">
      <c r="A185" s="85">
        <v>43343</v>
      </c>
      <c r="B185">
        <v>5.4009999999999998</v>
      </c>
    </row>
    <row r="186" spans="1:2" x14ac:dyDescent="0.35">
      <c r="A186" s="85">
        <v>43347</v>
      </c>
      <c r="B186">
        <v>5.3150000000000004</v>
      </c>
    </row>
    <row r="187" spans="1:2" x14ac:dyDescent="0.35">
      <c r="A187" s="85">
        <v>43348</v>
      </c>
      <c r="B187">
        <v>5.2175000000000002</v>
      </c>
    </row>
    <row r="188" spans="1:2" x14ac:dyDescent="0.35">
      <c r="A188" s="85">
        <v>43349</v>
      </c>
      <c r="B188">
        <v>5.1375000000000002</v>
      </c>
    </row>
    <row r="189" spans="1:2" x14ac:dyDescent="0.35">
      <c r="A189" s="85">
        <v>43350</v>
      </c>
      <c r="B189">
        <v>5.1124999999999998</v>
      </c>
    </row>
    <row r="190" spans="1:2" x14ac:dyDescent="0.35">
      <c r="A190" s="85">
        <v>43353</v>
      </c>
      <c r="B190">
        <v>5.2824999999999998</v>
      </c>
    </row>
    <row r="191" spans="1:2" x14ac:dyDescent="0.35">
      <c r="A191" s="85">
        <v>43354</v>
      </c>
      <c r="B191">
        <v>5.1875</v>
      </c>
    </row>
    <row r="192" spans="1:2" x14ac:dyDescent="0.35">
      <c r="A192" s="85">
        <v>43355</v>
      </c>
      <c r="B192">
        <v>5.0674999999999999</v>
      </c>
    </row>
    <row r="193" spans="1:2" x14ac:dyDescent="0.35">
      <c r="A193" s="85">
        <v>43356</v>
      </c>
      <c r="B193">
        <v>4.97</v>
      </c>
    </row>
    <row r="194" spans="1:2" x14ac:dyDescent="0.35">
      <c r="A194" s="85">
        <v>43357</v>
      </c>
      <c r="B194">
        <v>5.1150000000000002</v>
      </c>
    </row>
    <row r="195" spans="1:2" x14ac:dyDescent="0.35">
      <c r="A195" s="85">
        <v>43360</v>
      </c>
      <c r="B195">
        <v>5.0625</v>
      </c>
    </row>
    <row r="196" spans="1:2" x14ac:dyDescent="0.35">
      <c r="A196" s="85">
        <v>43361</v>
      </c>
      <c r="B196">
        <v>5.1050000000000004</v>
      </c>
    </row>
    <row r="197" spans="1:2" x14ac:dyDescent="0.35">
      <c r="A197" s="85">
        <v>43362</v>
      </c>
      <c r="B197">
        <v>5.2249999999999996</v>
      </c>
    </row>
    <row r="198" spans="1:2" x14ac:dyDescent="0.35">
      <c r="A198" s="85">
        <v>43363</v>
      </c>
      <c r="B198">
        <v>5.24</v>
      </c>
    </row>
    <row r="199" spans="1:2" x14ac:dyDescent="0.35">
      <c r="A199" s="85">
        <v>43364</v>
      </c>
      <c r="B199">
        <v>5.2175000000000002</v>
      </c>
    </row>
    <row r="200" spans="1:2" x14ac:dyDescent="0.35">
      <c r="A200" s="85">
        <v>43367</v>
      </c>
      <c r="B200">
        <v>5.27</v>
      </c>
    </row>
    <row r="201" spans="1:2" x14ac:dyDescent="0.35">
      <c r="A201" s="85">
        <v>43368</v>
      </c>
      <c r="B201">
        <v>5.2074999999999996</v>
      </c>
    </row>
    <row r="202" spans="1:2" x14ac:dyDescent="0.35">
      <c r="A202" s="85">
        <v>43369</v>
      </c>
      <c r="B202">
        <v>5.1749999999999998</v>
      </c>
    </row>
    <row r="203" spans="1:2" x14ac:dyDescent="0.35">
      <c r="A203" s="85">
        <v>43370</v>
      </c>
      <c r="B203">
        <v>5.13</v>
      </c>
    </row>
    <row r="204" spans="1:2" x14ac:dyDescent="0.35">
      <c r="A204" s="85">
        <v>43371</v>
      </c>
      <c r="B204">
        <v>5.09</v>
      </c>
    </row>
    <row r="205" spans="1:2" x14ac:dyDescent="0.35">
      <c r="A205" s="85">
        <v>43374</v>
      </c>
      <c r="B205">
        <v>5.0949999999999998</v>
      </c>
    </row>
    <row r="206" spans="1:2" x14ac:dyDescent="0.35">
      <c r="A206" s="85">
        <v>43375</v>
      </c>
      <c r="B206">
        <v>5.1924999999999999</v>
      </c>
    </row>
    <row r="207" spans="1:2" x14ac:dyDescent="0.35">
      <c r="A207" s="85">
        <v>43376</v>
      </c>
      <c r="B207">
        <v>5.1524999999999999</v>
      </c>
    </row>
    <row r="208" spans="1:2" x14ac:dyDescent="0.35">
      <c r="A208" s="85">
        <v>43377</v>
      </c>
      <c r="B208">
        <v>5.18</v>
      </c>
    </row>
    <row r="209" spans="1:2" x14ac:dyDescent="0.35">
      <c r="A209" s="85">
        <v>43378</v>
      </c>
      <c r="B209">
        <v>5.21</v>
      </c>
    </row>
    <row r="210" spans="1:2" x14ac:dyDescent="0.35">
      <c r="A210" s="85">
        <v>43381</v>
      </c>
      <c r="B210">
        <v>5.14</v>
      </c>
    </row>
    <row r="211" spans="1:2" x14ac:dyDescent="0.35">
      <c r="A211" s="85">
        <v>43382</v>
      </c>
      <c r="B211">
        <v>5.15</v>
      </c>
    </row>
    <row r="212" spans="1:2" x14ac:dyDescent="0.35">
      <c r="A212" s="85">
        <v>43383</v>
      </c>
      <c r="B212">
        <v>5.1050000000000004</v>
      </c>
    </row>
    <row r="213" spans="1:2" x14ac:dyDescent="0.35">
      <c r="A213" s="85">
        <v>43384</v>
      </c>
      <c r="B213">
        <v>5.08</v>
      </c>
    </row>
    <row r="214" spans="1:2" x14ac:dyDescent="0.35">
      <c r="A214" s="85">
        <v>43385</v>
      </c>
      <c r="B214">
        <v>5.1725000000000003</v>
      </c>
    </row>
    <row r="215" spans="1:2" x14ac:dyDescent="0.35">
      <c r="A215" s="85">
        <v>43388</v>
      </c>
      <c r="B215">
        <v>5.25</v>
      </c>
    </row>
    <row r="216" spans="1:2" x14ac:dyDescent="0.35">
      <c r="A216" s="85">
        <v>43389</v>
      </c>
      <c r="B216">
        <v>5.2350000000000003</v>
      </c>
    </row>
    <row r="217" spans="1:2" x14ac:dyDescent="0.35">
      <c r="A217" s="85">
        <v>43390</v>
      </c>
      <c r="B217">
        <v>5.1749999999999998</v>
      </c>
    </row>
    <row r="218" spans="1:2" x14ac:dyDescent="0.35">
      <c r="A218" s="85">
        <v>43391</v>
      </c>
      <c r="B218">
        <v>5.13</v>
      </c>
    </row>
    <row r="219" spans="1:2" x14ac:dyDescent="0.35">
      <c r="A219" s="85">
        <v>43392</v>
      </c>
      <c r="B219">
        <v>5.1475</v>
      </c>
    </row>
    <row r="220" spans="1:2" x14ac:dyDescent="0.35">
      <c r="A220" s="85">
        <v>43395</v>
      </c>
      <c r="B220">
        <v>5.08</v>
      </c>
    </row>
    <row r="221" spans="1:2" x14ac:dyDescent="0.35">
      <c r="A221" s="85">
        <v>43396</v>
      </c>
      <c r="B221">
        <v>5.09</v>
      </c>
    </row>
    <row r="222" spans="1:2" x14ac:dyDescent="0.35">
      <c r="A222" s="85">
        <v>43397</v>
      </c>
      <c r="B222">
        <v>4.9950000000000001</v>
      </c>
    </row>
    <row r="223" spans="1:2" x14ac:dyDescent="0.35">
      <c r="A223" s="85">
        <v>43398</v>
      </c>
      <c r="B223">
        <v>4.8724999999999996</v>
      </c>
    </row>
    <row r="224" spans="1:2" x14ac:dyDescent="0.35">
      <c r="A224" s="85">
        <v>43399</v>
      </c>
      <c r="B224">
        <v>5.0525000000000002</v>
      </c>
    </row>
    <row r="225" spans="1:2" x14ac:dyDescent="0.35">
      <c r="A225" s="85">
        <v>43402</v>
      </c>
      <c r="B225">
        <v>5.0724999999999998</v>
      </c>
    </row>
    <row r="226" spans="1:2" x14ac:dyDescent="0.35">
      <c r="A226" s="85">
        <v>43403</v>
      </c>
      <c r="B226">
        <v>4.9974999999999996</v>
      </c>
    </row>
    <row r="227" spans="1:2" x14ac:dyDescent="0.35">
      <c r="A227" s="85">
        <v>43404</v>
      </c>
      <c r="B227">
        <v>5.0049999999999999</v>
      </c>
    </row>
    <row r="228" spans="1:2" x14ac:dyDescent="0.35">
      <c r="A228" s="85">
        <v>43405</v>
      </c>
      <c r="B228">
        <v>5.08</v>
      </c>
    </row>
    <row r="229" spans="1:2" x14ac:dyDescent="0.35">
      <c r="A229" s="85">
        <v>43406</v>
      </c>
      <c r="B229">
        <v>5.0875000000000004</v>
      </c>
    </row>
    <row r="230" spans="1:2" x14ac:dyDescent="0.35">
      <c r="A230" s="85">
        <v>43409</v>
      </c>
      <c r="B230">
        <v>5.0724999999999998</v>
      </c>
    </row>
    <row r="231" spans="1:2" x14ac:dyDescent="0.35">
      <c r="A231" s="85">
        <v>43410</v>
      </c>
      <c r="B231">
        <v>5.12</v>
      </c>
    </row>
    <row r="232" spans="1:2" x14ac:dyDescent="0.35">
      <c r="A232" s="85">
        <v>43411</v>
      </c>
      <c r="B232">
        <v>5.1025</v>
      </c>
    </row>
    <row r="233" spans="1:2" x14ac:dyDescent="0.35">
      <c r="A233" s="85">
        <v>43412</v>
      </c>
      <c r="B233">
        <v>5.0774999999999997</v>
      </c>
    </row>
    <row r="234" spans="1:2" x14ac:dyDescent="0.35">
      <c r="A234" s="85">
        <v>43413</v>
      </c>
      <c r="B234">
        <v>5.0199999999999996</v>
      </c>
    </row>
    <row r="235" spans="1:2" x14ac:dyDescent="0.35">
      <c r="A235" s="85">
        <v>43416</v>
      </c>
      <c r="B235">
        <v>5.1974999999999998</v>
      </c>
    </row>
    <row r="236" spans="1:2" x14ac:dyDescent="0.35">
      <c r="A236" s="85">
        <v>43417</v>
      </c>
      <c r="B236">
        <v>5.0774999999999997</v>
      </c>
    </row>
    <row r="237" spans="1:2" x14ac:dyDescent="0.35">
      <c r="A237" s="85">
        <v>43418</v>
      </c>
      <c r="B237">
        <v>5.03</v>
      </c>
    </row>
    <row r="238" spans="1:2" x14ac:dyDescent="0.35">
      <c r="A238" s="85">
        <v>43419</v>
      </c>
      <c r="B238">
        <v>5.0549999999999997</v>
      </c>
    </row>
    <row r="239" spans="1:2" x14ac:dyDescent="0.35">
      <c r="A239" s="85">
        <v>43420</v>
      </c>
      <c r="B239">
        <v>5.0674999999999999</v>
      </c>
    </row>
    <row r="240" spans="1:2" x14ac:dyDescent="0.35">
      <c r="A240" s="85">
        <v>43423</v>
      </c>
      <c r="B240">
        <v>4.9850000000000003</v>
      </c>
    </row>
    <row r="241" spans="1:2" x14ac:dyDescent="0.35">
      <c r="A241" s="85">
        <v>43424</v>
      </c>
      <c r="B241">
        <v>5.0075000000000003</v>
      </c>
    </row>
    <row r="242" spans="1:2" x14ac:dyDescent="0.35">
      <c r="A242" s="85">
        <v>43425</v>
      </c>
      <c r="B242">
        <v>4.9874999999999998</v>
      </c>
    </row>
    <row r="243" spans="1:2" x14ac:dyDescent="0.35">
      <c r="A243" s="85">
        <v>43427</v>
      </c>
      <c r="B243">
        <v>4.9974999999999996</v>
      </c>
    </row>
    <row r="244" spans="1:2" x14ac:dyDescent="0.35">
      <c r="A244" s="85">
        <v>43430</v>
      </c>
      <c r="B244">
        <v>5.0750000000000002</v>
      </c>
    </row>
    <row r="245" spans="1:2" x14ac:dyDescent="0.35">
      <c r="A245" s="85">
        <v>43431</v>
      </c>
      <c r="B245">
        <v>4.9969999999999999</v>
      </c>
    </row>
    <row r="246" spans="1:2" x14ac:dyDescent="0.35">
      <c r="A246" s="85">
        <v>43432</v>
      </c>
      <c r="B246">
        <v>5.0309999999999997</v>
      </c>
    </row>
    <row r="247" spans="1:2" x14ac:dyDescent="0.35">
      <c r="A247" s="85">
        <v>43433</v>
      </c>
      <c r="B247">
        <v>5.0324999999999998</v>
      </c>
    </row>
    <row r="248" spans="1:2" x14ac:dyDescent="0.35">
      <c r="A248" s="85">
        <v>43434</v>
      </c>
      <c r="B248">
        <v>5.1574999999999998</v>
      </c>
    </row>
    <row r="249" spans="1:2" x14ac:dyDescent="0.35">
      <c r="A249" s="85">
        <v>43437</v>
      </c>
      <c r="B249">
        <v>5.2125000000000004</v>
      </c>
    </row>
    <row r="250" spans="1:2" x14ac:dyDescent="0.35">
      <c r="A250" s="85">
        <v>43438</v>
      </c>
      <c r="B250">
        <v>5.2249999999999996</v>
      </c>
    </row>
    <row r="251" spans="1:2" x14ac:dyDescent="0.35">
      <c r="A251" s="85">
        <v>43439</v>
      </c>
      <c r="B251">
        <v>5.18</v>
      </c>
    </row>
    <row r="252" spans="1:2" x14ac:dyDescent="0.35">
      <c r="A252" s="85">
        <v>43440</v>
      </c>
      <c r="B252">
        <v>5.1550000000000002</v>
      </c>
    </row>
    <row r="253" spans="1:2" x14ac:dyDescent="0.35">
      <c r="A253" s="85">
        <v>43441</v>
      </c>
      <c r="B253">
        <v>5.3125</v>
      </c>
    </row>
    <row r="254" spans="1:2" x14ac:dyDescent="0.35">
      <c r="A254" s="85">
        <v>43444</v>
      </c>
      <c r="B254">
        <v>5.2525000000000004</v>
      </c>
    </row>
    <row r="255" spans="1:2" x14ac:dyDescent="0.35">
      <c r="A255" s="85">
        <v>43445</v>
      </c>
      <c r="B255">
        <v>5.21</v>
      </c>
    </row>
    <row r="256" spans="1:2" x14ac:dyDescent="0.35">
      <c r="A256" s="85">
        <v>43446</v>
      </c>
      <c r="B256">
        <v>5.2649999999999997</v>
      </c>
    </row>
    <row r="257" spans="1:2" x14ac:dyDescent="0.35">
      <c r="A257" s="85">
        <v>43447</v>
      </c>
      <c r="B257">
        <v>5.36</v>
      </c>
    </row>
    <row r="258" spans="1:2" x14ac:dyDescent="0.35">
      <c r="A258" s="85">
        <v>43448</v>
      </c>
      <c r="B258">
        <v>5.3</v>
      </c>
    </row>
    <row r="259" spans="1:2" x14ac:dyDescent="0.35">
      <c r="A259" s="85">
        <v>43451</v>
      </c>
      <c r="B259">
        <v>5.3525</v>
      </c>
    </row>
    <row r="260" spans="1:2" x14ac:dyDescent="0.35">
      <c r="A260" s="85">
        <v>43452</v>
      </c>
      <c r="B260">
        <v>5.3274999999999997</v>
      </c>
    </row>
    <row r="261" spans="1:2" x14ac:dyDescent="0.35">
      <c r="A261" s="85">
        <v>43453</v>
      </c>
      <c r="B261">
        <v>5.2249999999999996</v>
      </c>
    </row>
    <row r="262" spans="1:2" x14ac:dyDescent="0.35">
      <c r="A262" s="85">
        <v>43454</v>
      </c>
      <c r="B262">
        <v>5.2350000000000003</v>
      </c>
    </row>
    <row r="263" spans="1:2" x14ac:dyDescent="0.35">
      <c r="A263" s="85">
        <v>43455</v>
      </c>
      <c r="B263">
        <v>5.14</v>
      </c>
    </row>
    <row r="264" spans="1:2" x14ac:dyDescent="0.35">
      <c r="A264" s="85">
        <v>43458</v>
      </c>
      <c r="B264">
        <v>5.165</v>
      </c>
    </row>
    <row r="265" spans="1:2" x14ac:dyDescent="0.35">
      <c r="A265" s="85">
        <v>43460</v>
      </c>
      <c r="B265">
        <v>5.0999999999999996</v>
      </c>
    </row>
    <row r="266" spans="1:2" x14ac:dyDescent="0.35">
      <c r="A266" s="85">
        <v>43461</v>
      </c>
      <c r="B266">
        <v>5.1050000000000004</v>
      </c>
    </row>
    <row r="267" spans="1:2" x14ac:dyDescent="0.35">
      <c r="A267" s="85">
        <v>43462</v>
      </c>
      <c r="B267">
        <v>5.1150000000000002</v>
      </c>
    </row>
    <row r="268" spans="1:2" x14ac:dyDescent="0.35">
      <c r="A268" s="85">
        <v>43465</v>
      </c>
      <c r="B268">
        <v>5.0324999999999998</v>
      </c>
    </row>
    <row r="269" spans="1:2" x14ac:dyDescent="0.35">
      <c r="A269" s="85">
        <v>43467</v>
      </c>
      <c r="B269">
        <v>5.0674999999999999</v>
      </c>
    </row>
    <row r="270" spans="1:2" x14ac:dyDescent="0.35">
      <c r="A270" s="85">
        <v>43468</v>
      </c>
      <c r="B270">
        <v>5.1375000000000002</v>
      </c>
    </row>
    <row r="271" spans="1:2" x14ac:dyDescent="0.35">
      <c r="A271" s="85">
        <v>43469</v>
      </c>
      <c r="B271">
        <v>5.17</v>
      </c>
    </row>
    <row r="272" spans="1:2" x14ac:dyDescent="0.35">
      <c r="A272" s="85">
        <v>43472</v>
      </c>
      <c r="B272">
        <v>5.1675000000000004</v>
      </c>
    </row>
    <row r="273" spans="1:2" x14ac:dyDescent="0.35">
      <c r="A273" s="85">
        <v>43473</v>
      </c>
      <c r="B273">
        <v>5.1775000000000002</v>
      </c>
    </row>
    <row r="274" spans="1:2" x14ac:dyDescent="0.35">
      <c r="A274" s="85">
        <v>43474</v>
      </c>
      <c r="B274">
        <v>5.2</v>
      </c>
    </row>
    <row r="275" spans="1:2" x14ac:dyDescent="0.35">
      <c r="A275" s="85">
        <v>43475</v>
      </c>
      <c r="B275">
        <v>5.1375000000000002</v>
      </c>
    </row>
    <row r="276" spans="1:2" x14ac:dyDescent="0.35">
      <c r="A276" s="85">
        <v>43476</v>
      </c>
      <c r="B276">
        <v>5.1950000000000003</v>
      </c>
    </row>
    <row r="277" spans="1:2" x14ac:dyDescent="0.35">
      <c r="A277" s="85">
        <v>43479</v>
      </c>
      <c r="B277">
        <v>5.1425000000000001</v>
      </c>
    </row>
    <row r="278" spans="1:2" x14ac:dyDescent="0.35">
      <c r="A278" s="85">
        <v>43480</v>
      </c>
      <c r="B278">
        <v>5.1100000000000003</v>
      </c>
    </row>
    <row r="279" spans="1:2" x14ac:dyDescent="0.35">
      <c r="A279" s="85">
        <v>43481</v>
      </c>
      <c r="B279">
        <v>5.125</v>
      </c>
    </row>
    <row r="280" spans="1:2" x14ac:dyDescent="0.35">
      <c r="A280" s="85">
        <v>43482</v>
      </c>
      <c r="B280">
        <v>5.1775000000000002</v>
      </c>
    </row>
    <row r="281" spans="1:2" x14ac:dyDescent="0.35">
      <c r="A281" s="85">
        <v>43483</v>
      </c>
      <c r="B281">
        <v>5.1775000000000002</v>
      </c>
    </row>
    <row r="282" spans="1:2" x14ac:dyDescent="0.35">
      <c r="A282" s="85">
        <v>43487</v>
      </c>
      <c r="B282">
        <v>5.2125000000000004</v>
      </c>
    </row>
    <row r="283" spans="1:2" x14ac:dyDescent="0.35">
      <c r="A283" s="85">
        <v>43488</v>
      </c>
      <c r="B283">
        <v>5.26</v>
      </c>
    </row>
    <row r="284" spans="1:2" x14ac:dyDescent="0.35">
      <c r="A284" s="85">
        <v>43489</v>
      </c>
      <c r="B284">
        <v>5.2149999999999999</v>
      </c>
    </row>
    <row r="285" spans="1:2" x14ac:dyDescent="0.35">
      <c r="A285" s="85">
        <v>43490</v>
      </c>
      <c r="B285">
        <v>5.2</v>
      </c>
    </row>
    <row r="286" spans="1:2" x14ac:dyDescent="0.35">
      <c r="A286" s="85">
        <v>43493</v>
      </c>
      <c r="B286">
        <v>5.1875</v>
      </c>
    </row>
    <row r="287" spans="1:2" x14ac:dyDescent="0.35">
      <c r="A287" s="85">
        <v>43494</v>
      </c>
      <c r="B287">
        <v>5.1325000000000003</v>
      </c>
    </row>
    <row r="288" spans="1:2" x14ac:dyDescent="0.35">
      <c r="A288" s="85">
        <v>43495</v>
      </c>
      <c r="B288">
        <v>5.1675000000000004</v>
      </c>
    </row>
    <row r="289" spans="1:2" x14ac:dyDescent="0.35">
      <c r="A289" s="85">
        <v>43496</v>
      </c>
      <c r="B289">
        <v>5.165</v>
      </c>
    </row>
    <row r="290" spans="1:2" x14ac:dyDescent="0.35">
      <c r="A290" s="85">
        <v>43497</v>
      </c>
      <c r="B290">
        <v>5.2424999999999997</v>
      </c>
    </row>
    <row r="291" spans="1:2" x14ac:dyDescent="0.35">
      <c r="A291" s="85">
        <v>43500</v>
      </c>
      <c r="B291">
        <v>5.2575000000000003</v>
      </c>
    </row>
    <row r="292" spans="1:2" x14ac:dyDescent="0.35">
      <c r="A292" s="85">
        <v>43501</v>
      </c>
      <c r="B292">
        <v>5.2725</v>
      </c>
    </row>
    <row r="293" spans="1:2" x14ac:dyDescent="0.35">
      <c r="A293" s="85">
        <v>43502</v>
      </c>
      <c r="B293">
        <v>5.26</v>
      </c>
    </row>
    <row r="294" spans="1:2" x14ac:dyDescent="0.35">
      <c r="A294" s="85">
        <v>43503</v>
      </c>
      <c r="B294">
        <v>5.1325000000000003</v>
      </c>
    </row>
    <row r="295" spans="1:2" x14ac:dyDescent="0.35">
      <c r="A295" s="85">
        <v>43504</v>
      </c>
      <c r="B295">
        <v>5.1725000000000003</v>
      </c>
    </row>
    <row r="296" spans="1:2" x14ac:dyDescent="0.35">
      <c r="A296" s="85">
        <v>43507</v>
      </c>
      <c r="B296">
        <v>5.1825000000000001</v>
      </c>
    </row>
    <row r="297" spans="1:2" x14ac:dyDescent="0.35">
      <c r="A297" s="85">
        <v>43508</v>
      </c>
      <c r="B297">
        <v>5.2</v>
      </c>
    </row>
    <row r="298" spans="1:2" x14ac:dyDescent="0.35">
      <c r="A298" s="85">
        <v>43509</v>
      </c>
      <c r="B298">
        <v>5.2225000000000001</v>
      </c>
    </row>
    <row r="299" spans="1:2" x14ac:dyDescent="0.35">
      <c r="A299" s="85">
        <v>43510</v>
      </c>
      <c r="B299">
        <v>5.07</v>
      </c>
    </row>
    <row r="300" spans="1:2" x14ac:dyDescent="0.35">
      <c r="A300" s="85">
        <v>43511</v>
      </c>
      <c r="B300">
        <v>5.0425000000000004</v>
      </c>
    </row>
    <row r="301" spans="1:2" x14ac:dyDescent="0.35">
      <c r="A301" s="85">
        <v>43515</v>
      </c>
      <c r="B301">
        <v>4.8975</v>
      </c>
    </row>
    <row r="302" spans="1:2" x14ac:dyDescent="0.35">
      <c r="A302" s="85">
        <v>43516</v>
      </c>
      <c r="B302">
        <v>4.8075000000000001</v>
      </c>
    </row>
    <row r="303" spans="1:2" x14ac:dyDescent="0.35">
      <c r="A303" s="85">
        <v>43517</v>
      </c>
      <c r="B303">
        <v>4.8650000000000002</v>
      </c>
    </row>
    <row r="304" spans="1:2" x14ac:dyDescent="0.35">
      <c r="A304" s="85">
        <v>43518</v>
      </c>
      <c r="B304">
        <v>4.8674999999999997</v>
      </c>
    </row>
    <row r="305" spans="1:2" x14ac:dyDescent="0.35">
      <c r="A305" s="85">
        <v>43521</v>
      </c>
      <c r="B305">
        <v>4.6795</v>
      </c>
    </row>
    <row r="306" spans="1:2" x14ac:dyDescent="0.35">
      <c r="A306" s="85">
        <v>43522</v>
      </c>
      <c r="B306">
        <v>4.6345000000000001</v>
      </c>
    </row>
    <row r="307" spans="1:2" x14ac:dyDescent="0.35">
      <c r="A307" s="85">
        <v>43523</v>
      </c>
      <c r="B307">
        <v>4.6444999999999999</v>
      </c>
    </row>
    <row r="308" spans="1:2" x14ac:dyDescent="0.35">
      <c r="A308" s="85">
        <v>43524</v>
      </c>
      <c r="B308">
        <v>4.5810000000000004</v>
      </c>
    </row>
    <row r="309" spans="1:2" x14ac:dyDescent="0.35">
      <c r="A309" s="85">
        <v>43525</v>
      </c>
      <c r="B309">
        <v>4.5724999999999998</v>
      </c>
    </row>
    <row r="310" spans="1:2" x14ac:dyDescent="0.35">
      <c r="A310" s="85">
        <v>43528</v>
      </c>
      <c r="B310">
        <v>4.5549999999999997</v>
      </c>
    </row>
    <row r="311" spans="1:2" x14ac:dyDescent="0.35">
      <c r="A311" s="85">
        <v>43529</v>
      </c>
      <c r="B311">
        <v>4.6275000000000004</v>
      </c>
    </row>
    <row r="312" spans="1:2" x14ac:dyDescent="0.35">
      <c r="A312" s="85">
        <v>43530</v>
      </c>
      <c r="B312">
        <v>4.5</v>
      </c>
    </row>
    <row r="313" spans="1:2" x14ac:dyDescent="0.35">
      <c r="A313" s="85">
        <v>43531</v>
      </c>
      <c r="B313">
        <v>4.3825000000000003</v>
      </c>
    </row>
    <row r="314" spans="1:2" x14ac:dyDescent="0.35">
      <c r="A314" s="85">
        <v>43532</v>
      </c>
      <c r="B314">
        <v>4.3949999999999996</v>
      </c>
    </row>
    <row r="315" spans="1:2" x14ac:dyDescent="0.35">
      <c r="A315" s="85">
        <v>43535</v>
      </c>
      <c r="B315">
        <v>4.2850000000000001</v>
      </c>
    </row>
    <row r="316" spans="1:2" x14ac:dyDescent="0.35">
      <c r="A316" s="85">
        <v>43536</v>
      </c>
      <c r="B316">
        <v>4.53</v>
      </c>
    </row>
    <row r="317" spans="1:2" x14ac:dyDescent="0.35">
      <c r="A317" s="85">
        <v>43537</v>
      </c>
      <c r="B317">
        <v>4.4725000000000001</v>
      </c>
    </row>
    <row r="318" spans="1:2" x14ac:dyDescent="0.35">
      <c r="A318" s="85">
        <v>43538</v>
      </c>
      <c r="B318">
        <v>4.5274999999999999</v>
      </c>
    </row>
    <row r="319" spans="1:2" x14ac:dyDescent="0.35">
      <c r="A319" s="85">
        <v>43539</v>
      </c>
      <c r="B319">
        <v>4.6224999999999996</v>
      </c>
    </row>
    <row r="320" spans="1:2" x14ac:dyDescent="0.35">
      <c r="A320" s="85">
        <v>43542</v>
      </c>
      <c r="B320">
        <v>4.5674999999999999</v>
      </c>
    </row>
    <row r="321" spans="1:2" x14ac:dyDescent="0.35">
      <c r="A321" s="85">
        <v>43543</v>
      </c>
      <c r="B321">
        <v>4.5650000000000004</v>
      </c>
    </row>
    <row r="322" spans="1:2" x14ac:dyDescent="0.35">
      <c r="A322" s="85">
        <v>43544</v>
      </c>
      <c r="B322">
        <v>4.6475</v>
      </c>
    </row>
    <row r="323" spans="1:2" x14ac:dyDescent="0.35">
      <c r="A323" s="85">
        <v>43545</v>
      </c>
      <c r="B323">
        <v>4.665</v>
      </c>
    </row>
    <row r="324" spans="1:2" x14ac:dyDescent="0.35">
      <c r="A324" s="85">
        <v>43546</v>
      </c>
      <c r="B324">
        <v>4.66</v>
      </c>
    </row>
    <row r="325" spans="1:2" x14ac:dyDescent="0.35">
      <c r="A325" s="85">
        <v>43549</v>
      </c>
      <c r="B325">
        <v>4.6950000000000003</v>
      </c>
    </row>
    <row r="326" spans="1:2" x14ac:dyDescent="0.35">
      <c r="A326" s="85">
        <v>43550</v>
      </c>
      <c r="B326">
        <v>4.6924999999999999</v>
      </c>
    </row>
    <row r="327" spans="1:2" x14ac:dyDescent="0.35">
      <c r="A327" s="85">
        <v>43551</v>
      </c>
      <c r="B327">
        <v>4.6950000000000003</v>
      </c>
    </row>
    <row r="328" spans="1:2" x14ac:dyDescent="0.35">
      <c r="A328" s="85">
        <v>43552</v>
      </c>
      <c r="B328">
        <v>4.6449999999999996</v>
      </c>
    </row>
    <row r="329" spans="1:2" x14ac:dyDescent="0.35">
      <c r="A329" s="85">
        <v>43553</v>
      </c>
      <c r="B329">
        <v>4.5774999999999997</v>
      </c>
    </row>
    <row r="330" spans="1:2" x14ac:dyDescent="0.35">
      <c r="A330" s="85">
        <v>43556</v>
      </c>
      <c r="B330">
        <v>4.6275000000000004</v>
      </c>
    </row>
    <row r="331" spans="1:2" x14ac:dyDescent="0.35">
      <c r="A331" s="85">
        <v>43557</v>
      </c>
      <c r="B331">
        <v>4.6399999999999997</v>
      </c>
    </row>
    <row r="332" spans="1:2" x14ac:dyDescent="0.35">
      <c r="A332" s="85">
        <v>43558</v>
      </c>
      <c r="B332">
        <v>4.71</v>
      </c>
    </row>
    <row r="333" spans="1:2" x14ac:dyDescent="0.35">
      <c r="A333" s="85">
        <v>43559</v>
      </c>
      <c r="B333">
        <v>4.7074999999999996</v>
      </c>
    </row>
    <row r="334" spans="1:2" x14ac:dyDescent="0.35">
      <c r="A334" s="85">
        <v>43560</v>
      </c>
      <c r="B334">
        <v>4.6775000000000002</v>
      </c>
    </row>
    <row r="335" spans="1:2" x14ac:dyDescent="0.35">
      <c r="A335" s="85">
        <v>43563</v>
      </c>
      <c r="B335">
        <v>4.6524999999999999</v>
      </c>
    </row>
    <row r="336" spans="1:2" x14ac:dyDescent="0.35">
      <c r="A336" s="85">
        <v>43564</v>
      </c>
      <c r="B336">
        <v>4.5949999999999998</v>
      </c>
    </row>
    <row r="337" spans="1:2" x14ac:dyDescent="0.35">
      <c r="A337" s="85">
        <v>43565</v>
      </c>
      <c r="B337">
        <v>4.58</v>
      </c>
    </row>
    <row r="338" spans="1:2" x14ac:dyDescent="0.35">
      <c r="A338" s="85">
        <v>43566</v>
      </c>
      <c r="B338">
        <v>4.6050000000000004</v>
      </c>
    </row>
    <row r="339" spans="1:2" x14ac:dyDescent="0.35">
      <c r="A339" s="85">
        <v>43567</v>
      </c>
      <c r="B339">
        <v>4.6449999999999996</v>
      </c>
    </row>
    <row r="340" spans="1:2" x14ac:dyDescent="0.35">
      <c r="A340" s="85">
        <v>43570</v>
      </c>
      <c r="B340">
        <v>4.5949999999999998</v>
      </c>
    </row>
    <row r="341" spans="1:2" x14ac:dyDescent="0.35">
      <c r="A341" s="85">
        <v>43571</v>
      </c>
      <c r="B341">
        <v>4.45</v>
      </c>
    </row>
    <row r="342" spans="1:2" x14ac:dyDescent="0.35">
      <c r="A342" s="85">
        <v>43572</v>
      </c>
      <c r="B342">
        <v>4.47</v>
      </c>
    </row>
    <row r="343" spans="1:2" x14ac:dyDescent="0.35">
      <c r="A343" s="85">
        <v>43573</v>
      </c>
      <c r="B343">
        <v>4.4424999999999999</v>
      </c>
    </row>
    <row r="344" spans="1:2" x14ac:dyDescent="0.35">
      <c r="A344" s="85">
        <v>43577</v>
      </c>
      <c r="B344">
        <v>4.3574999999999999</v>
      </c>
    </row>
    <row r="345" spans="1:2" x14ac:dyDescent="0.35">
      <c r="A345" s="85">
        <v>43578</v>
      </c>
      <c r="B345">
        <v>4.3875000000000002</v>
      </c>
    </row>
    <row r="346" spans="1:2" x14ac:dyDescent="0.35">
      <c r="A346" s="85">
        <v>43579</v>
      </c>
      <c r="B346">
        <v>4.3224999999999998</v>
      </c>
    </row>
    <row r="347" spans="1:2" x14ac:dyDescent="0.35">
      <c r="A347" s="85">
        <v>43580</v>
      </c>
      <c r="B347">
        <v>4.3609999999999998</v>
      </c>
    </row>
    <row r="348" spans="1:2" x14ac:dyDescent="0.35">
      <c r="A348" s="85">
        <v>43581</v>
      </c>
      <c r="B348">
        <v>4.38</v>
      </c>
    </row>
    <row r="349" spans="1:2" x14ac:dyDescent="0.35">
      <c r="A349" s="85">
        <v>43584</v>
      </c>
      <c r="B349">
        <v>4.3185000000000002</v>
      </c>
    </row>
    <row r="350" spans="1:2" x14ac:dyDescent="0.35">
      <c r="A350" s="85">
        <v>43585</v>
      </c>
      <c r="B350">
        <v>4.2670000000000003</v>
      </c>
    </row>
    <row r="351" spans="1:2" x14ac:dyDescent="0.35">
      <c r="A351" s="85">
        <v>43586</v>
      </c>
      <c r="B351">
        <v>4.3600000000000003</v>
      </c>
    </row>
    <row r="352" spans="1:2" x14ac:dyDescent="0.35">
      <c r="A352" s="85">
        <v>43587</v>
      </c>
      <c r="B352">
        <v>4.4400000000000004</v>
      </c>
    </row>
    <row r="353" spans="1:2" x14ac:dyDescent="0.35">
      <c r="A353" s="85">
        <v>43588</v>
      </c>
      <c r="B353">
        <v>4.38</v>
      </c>
    </row>
    <row r="354" spans="1:2" x14ac:dyDescent="0.35">
      <c r="A354" s="85">
        <v>43591</v>
      </c>
      <c r="B354">
        <v>4.3724999999999996</v>
      </c>
    </row>
    <row r="355" spans="1:2" x14ac:dyDescent="0.35">
      <c r="A355" s="85">
        <v>43592</v>
      </c>
      <c r="B355">
        <v>4.3949999999999996</v>
      </c>
    </row>
    <row r="356" spans="1:2" x14ac:dyDescent="0.35">
      <c r="A356" s="85">
        <v>43593</v>
      </c>
      <c r="B356">
        <v>4.3899999999999997</v>
      </c>
    </row>
    <row r="357" spans="1:2" x14ac:dyDescent="0.35">
      <c r="A357" s="85">
        <v>43594</v>
      </c>
      <c r="B357">
        <v>4.2949999999999999</v>
      </c>
    </row>
    <row r="358" spans="1:2" x14ac:dyDescent="0.35">
      <c r="A358" s="85">
        <v>43595</v>
      </c>
      <c r="B358">
        <v>4.2474999999999996</v>
      </c>
    </row>
    <row r="359" spans="1:2" x14ac:dyDescent="0.35">
      <c r="A359" s="85">
        <v>43598</v>
      </c>
      <c r="B359">
        <v>4.37</v>
      </c>
    </row>
    <row r="360" spans="1:2" x14ac:dyDescent="0.35">
      <c r="A360" s="85">
        <v>43599</v>
      </c>
      <c r="B360">
        <v>4.4850000000000003</v>
      </c>
    </row>
    <row r="361" spans="1:2" x14ac:dyDescent="0.35">
      <c r="A361" s="85">
        <v>43600</v>
      </c>
      <c r="B361">
        <v>4.4874999999999998</v>
      </c>
    </row>
    <row r="362" spans="1:2" x14ac:dyDescent="0.35">
      <c r="A362" s="85">
        <v>43601</v>
      </c>
      <c r="B362">
        <v>4.67</v>
      </c>
    </row>
    <row r="363" spans="1:2" x14ac:dyDescent="0.35">
      <c r="A363" s="85">
        <v>43602</v>
      </c>
      <c r="B363">
        <v>4.6500000000000004</v>
      </c>
    </row>
    <row r="364" spans="1:2" x14ac:dyDescent="0.35">
      <c r="A364" s="85">
        <v>43605</v>
      </c>
      <c r="B364">
        <v>4.7824999999999998</v>
      </c>
    </row>
    <row r="365" spans="1:2" x14ac:dyDescent="0.35">
      <c r="A365" s="85">
        <v>43606</v>
      </c>
      <c r="B365">
        <v>4.7874999999999996</v>
      </c>
    </row>
    <row r="366" spans="1:2" x14ac:dyDescent="0.35">
      <c r="A366" s="85">
        <v>43607</v>
      </c>
      <c r="B366">
        <v>4.7275</v>
      </c>
    </row>
    <row r="367" spans="1:2" x14ac:dyDescent="0.35">
      <c r="A367" s="85">
        <v>43608</v>
      </c>
      <c r="B367">
        <v>4.7024999999999997</v>
      </c>
    </row>
    <row r="368" spans="1:2" x14ac:dyDescent="0.35">
      <c r="A368" s="85">
        <v>43609</v>
      </c>
      <c r="B368">
        <v>4.8949999999999996</v>
      </c>
    </row>
    <row r="369" spans="1:2" x14ac:dyDescent="0.35">
      <c r="A369" s="85">
        <v>43613</v>
      </c>
      <c r="B369">
        <v>5.0475000000000003</v>
      </c>
    </row>
    <row r="370" spans="1:2" x14ac:dyDescent="0.35">
      <c r="A370" s="85">
        <v>43614</v>
      </c>
      <c r="B370">
        <v>4.9050000000000002</v>
      </c>
    </row>
    <row r="371" spans="1:2" x14ac:dyDescent="0.35">
      <c r="A371" s="85">
        <v>43615</v>
      </c>
      <c r="B371">
        <v>5.1449999999999996</v>
      </c>
    </row>
    <row r="372" spans="1:2" x14ac:dyDescent="0.35">
      <c r="A372" s="85">
        <v>43616</v>
      </c>
      <c r="B372">
        <v>5.03</v>
      </c>
    </row>
    <row r="373" spans="1:2" x14ac:dyDescent="0.35">
      <c r="A373" s="85">
        <v>43619</v>
      </c>
      <c r="B373">
        <v>5.1974999999999998</v>
      </c>
    </row>
    <row r="374" spans="1:2" x14ac:dyDescent="0.35">
      <c r="A374" s="85">
        <v>43620</v>
      </c>
      <c r="B374">
        <v>5.0724999999999998</v>
      </c>
    </row>
    <row r="375" spans="1:2" x14ac:dyDescent="0.35">
      <c r="A375" s="85">
        <v>43621</v>
      </c>
      <c r="B375">
        <v>4.9074999999999998</v>
      </c>
    </row>
    <row r="376" spans="1:2" x14ac:dyDescent="0.35">
      <c r="A376" s="85">
        <v>43622</v>
      </c>
      <c r="B376">
        <v>5.0999999999999996</v>
      </c>
    </row>
    <row r="377" spans="1:2" x14ac:dyDescent="0.35">
      <c r="A377" s="85">
        <v>43623</v>
      </c>
      <c r="B377">
        <v>5.0449999999999999</v>
      </c>
    </row>
    <row r="378" spans="1:2" x14ac:dyDescent="0.35">
      <c r="A378" s="85">
        <v>43626</v>
      </c>
      <c r="B378">
        <v>5.0750000000000002</v>
      </c>
    </row>
    <row r="379" spans="1:2" x14ac:dyDescent="0.35">
      <c r="A379" s="85">
        <v>43627</v>
      </c>
      <c r="B379">
        <v>5.18</v>
      </c>
    </row>
    <row r="380" spans="1:2" x14ac:dyDescent="0.35">
      <c r="A380" s="85">
        <v>43628</v>
      </c>
      <c r="B380">
        <v>5.2625000000000002</v>
      </c>
    </row>
    <row r="381" spans="1:2" x14ac:dyDescent="0.35">
      <c r="A381" s="85">
        <v>43629</v>
      </c>
      <c r="B381">
        <v>5.3550000000000004</v>
      </c>
    </row>
    <row r="382" spans="1:2" x14ac:dyDescent="0.35">
      <c r="A382" s="85">
        <v>43630</v>
      </c>
      <c r="B382">
        <v>5.3849999999999998</v>
      </c>
    </row>
    <row r="383" spans="1:2" x14ac:dyDescent="0.35">
      <c r="A383" s="85">
        <v>43633</v>
      </c>
      <c r="B383">
        <v>5.3949999999999996</v>
      </c>
    </row>
    <row r="384" spans="1:2" x14ac:dyDescent="0.35">
      <c r="A384" s="85">
        <v>43634</v>
      </c>
      <c r="B384">
        <v>5.3150000000000004</v>
      </c>
    </row>
    <row r="385" spans="1:2" x14ac:dyDescent="0.35">
      <c r="A385" s="85">
        <v>43635</v>
      </c>
      <c r="B385">
        <v>5.2225000000000001</v>
      </c>
    </row>
    <row r="386" spans="1:2" x14ac:dyDescent="0.35">
      <c r="A386" s="85">
        <v>43636</v>
      </c>
      <c r="B386">
        <v>5.2649999999999997</v>
      </c>
    </row>
    <row r="387" spans="1:2" x14ac:dyDescent="0.35">
      <c r="A387" s="85">
        <v>43637</v>
      </c>
      <c r="B387">
        <v>5.26</v>
      </c>
    </row>
    <row r="388" spans="1:2" x14ac:dyDescent="0.35">
      <c r="A388" s="85">
        <v>43640</v>
      </c>
      <c r="B388">
        <v>5.38</v>
      </c>
    </row>
    <row r="389" spans="1:2" x14ac:dyDescent="0.35">
      <c r="A389" s="85">
        <v>43641</v>
      </c>
      <c r="B389">
        <v>5.3659999999999997</v>
      </c>
    </row>
    <row r="390" spans="1:2" x14ac:dyDescent="0.35">
      <c r="A390" s="85">
        <v>43642</v>
      </c>
      <c r="B390">
        <v>5.4485000000000001</v>
      </c>
    </row>
    <row r="391" spans="1:2" x14ac:dyDescent="0.35">
      <c r="A391" s="85">
        <v>43643</v>
      </c>
      <c r="B391">
        <v>5.4705000000000004</v>
      </c>
    </row>
    <row r="392" spans="1:2" x14ac:dyDescent="0.35">
      <c r="A392" s="85">
        <v>43644</v>
      </c>
      <c r="B392">
        <v>5.274</v>
      </c>
    </row>
    <row r="393" spans="1:2" x14ac:dyDescent="0.35">
      <c r="A393" s="85">
        <v>43647</v>
      </c>
      <c r="B393">
        <v>5.1174999999999997</v>
      </c>
    </row>
    <row r="394" spans="1:2" x14ac:dyDescent="0.35">
      <c r="A394" s="85">
        <v>43648</v>
      </c>
      <c r="B394">
        <v>5.0324999999999998</v>
      </c>
    </row>
    <row r="395" spans="1:2" x14ac:dyDescent="0.35">
      <c r="A395" s="85">
        <v>43649</v>
      </c>
      <c r="B395">
        <v>5.14</v>
      </c>
    </row>
    <row r="396" spans="1:2" x14ac:dyDescent="0.35">
      <c r="A396" s="85">
        <v>43651</v>
      </c>
      <c r="B396">
        <v>5.15</v>
      </c>
    </row>
    <row r="397" spans="1:2" x14ac:dyDescent="0.35">
      <c r="A397" s="85">
        <v>43654</v>
      </c>
      <c r="B397">
        <v>5.1100000000000003</v>
      </c>
    </row>
    <row r="398" spans="1:2" x14ac:dyDescent="0.35">
      <c r="A398" s="85">
        <v>43655</v>
      </c>
      <c r="B398">
        <v>5.0274999999999999</v>
      </c>
    </row>
    <row r="399" spans="1:2" x14ac:dyDescent="0.35">
      <c r="A399" s="85">
        <v>43656</v>
      </c>
      <c r="B399">
        <v>5.0475000000000003</v>
      </c>
    </row>
    <row r="400" spans="1:2" x14ac:dyDescent="0.35">
      <c r="A400" s="85">
        <v>43657</v>
      </c>
      <c r="B400">
        <v>5.2149999999999999</v>
      </c>
    </row>
    <row r="401" spans="1:2" x14ac:dyDescent="0.35">
      <c r="A401" s="85">
        <v>43658</v>
      </c>
      <c r="B401">
        <v>5.23</v>
      </c>
    </row>
    <row r="402" spans="1:2" x14ac:dyDescent="0.35">
      <c r="A402" s="85">
        <v>43661</v>
      </c>
      <c r="B402">
        <v>5.0774999999999997</v>
      </c>
    </row>
    <row r="403" spans="1:2" x14ac:dyDescent="0.35">
      <c r="A403" s="85">
        <v>43662</v>
      </c>
      <c r="B403">
        <v>5.0750000000000002</v>
      </c>
    </row>
    <row r="404" spans="1:2" x14ac:dyDescent="0.35">
      <c r="A404" s="85">
        <v>43663</v>
      </c>
      <c r="B404">
        <v>5.0549999999999997</v>
      </c>
    </row>
    <row r="405" spans="1:2" x14ac:dyDescent="0.35">
      <c r="A405" s="85">
        <v>43664</v>
      </c>
      <c r="B405">
        <v>4.9349999999999996</v>
      </c>
    </row>
    <row r="406" spans="1:2" x14ac:dyDescent="0.35">
      <c r="A406" s="85">
        <v>43665</v>
      </c>
      <c r="B406">
        <v>5.0250000000000004</v>
      </c>
    </row>
    <row r="407" spans="1:2" x14ac:dyDescent="0.35">
      <c r="A407" s="85">
        <v>43668</v>
      </c>
      <c r="B407">
        <v>4.8724999999999996</v>
      </c>
    </row>
    <row r="408" spans="1:2" x14ac:dyDescent="0.35">
      <c r="A408" s="85">
        <v>43669</v>
      </c>
      <c r="B408">
        <v>4.8724999999999996</v>
      </c>
    </row>
    <row r="409" spans="1:2" x14ac:dyDescent="0.35">
      <c r="A409" s="85">
        <v>43670</v>
      </c>
      <c r="B409">
        <v>4.9775</v>
      </c>
    </row>
    <row r="410" spans="1:2" x14ac:dyDescent="0.35">
      <c r="A410" s="85">
        <v>43671</v>
      </c>
      <c r="B410">
        <v>4.9950000000000001</v>
      </c>
    </row>
    <row r="411" spans="1:2" x14ac:dyDescent="0.35">
      <c r="A411" s="85">
        <v>43672</v>
      </c>
      <c r="B411">
        <v>4.96</v>
      </c>
    </row>
    <row r="412" spans="1:2" x14ac:dyDescent="0.35">
      <c r="A412" s="85">
        <v>43675</v>
      </c>
      <c r="B412">
        <v>5.0350000000000001</v>
      </c>
    </row>
    <row r="413" spans="1:2" x14ac:dyDescent="0.35">
      <c r="A413" s="85">
        <v>43676</v>
      </c>
      <c r="B413">
        <v>4.9725000000000001</v>
      </c>
    </row>
    <row r="414" spans="1:2" x14ac:dyDescent="0.35">
      <c r="A414" s="85">
        <v>43677</v>
      </c>
      <c r="B414">
        <v>4.8724999999999996</v>
      </c>
    </row>
    <row r="415" spans="1:2" x14ac:dyDescent="0.35">
      <c r="A415" s="85">
        <v>43678</v>
      </c>
      <c r="B415">
        <v>4.7575000000000003</v>
      </c>
    </row>
    <row r="416" spans="1:2" x14ac:dyDescent="0.35">
      <c r="A416" s="85">
        <v>43679</v>
      </c>
      <c r="B416">
        <v>4.9074999999999998</v>
      </c>
    </row>
    <row r="417" spans="1:2" x14ac:dyDescent="0.35">
      <c r="A417" s="85">
        <v>43682</v>
      </c>
      <c r="B417">
        <v>4.9450000000000003</v>
      </c>
    </row>
    <row r="418" spans="1:2" x14ac:dyDescent="0.35">
      <c r="A418" s="85">
        <v>43683</v>
      </c>
      <c r="B418">
        <v>4.84</v>
      </c>
    </row>
    <row r="419" spans="1:2" x14ac:dyDescent="0.35">
      <c r="A419" s="85">
        <v>43684</v>
      </c>
      <c r="B419">
        <v>4.8825000000000003</v>
      </c>
    </row>
    <row r="420" spans="1:2" x14ac:dyDescent="0.35">
      <c r="A420" s="85">
        <v>43685</v>
      </c>
      <c r="B420">
        <v>4.9850000000000003</v>
      </c>
    </row>
    <row r="421" spans="1:2" x14ac:dyDescent="0.35">
      <c r="A421" s="85">
        <v>43686</v>
      </c>
      <c r="B421">
        <v>4.9950000000000001</v>
      </c>
    </row>
    <row r="422" spans="1:2" x14ac:dyDescent="0.35">
      <c r="A422" s="85">
        <v>43689</v>
      </c>
      <c r="B422">
        <v>4.7175000000000002</v>
      </c>
    </row>
    <row r="423" spans="1:2" x14ac:dyDescent="0.35">
      <c r="A423" s="85">
        <v>43690</v>
      </c>
      <c r="B423">
        <v>4.72</v>
      </c>
    </row>
    <row r="424" spans="1:2" x14ac:dyDescent="0.35">
      <c r="A424" s="85">
        <v>43691</v>
      </c>
      <c r="B424">
        <v>4.7374999999999998</v>
      </c>
    </row>
    <row r="425" spans="1:2" x14ac:dyDescent="0.35">
      <c r="A425" s="85">
        <v>43692</v>
      </c>
      <c r="B425">
        <v>4.6900000000000004</v>
      </c>
    </row>
    <row r="426" spans="1:2" x14ac:dyDescent="0.35">
      <c r="A426" s="85">
        <v>43693</v>
      </c>
      <c r="B426">
        <v>4.7074999999999996</v>
      </c>
    </row>
    <row r="427" spans="1:2" x14ac:dyDescent="0.35">
      <c r="A427" s="85">
        <v>43696</v>
      </c>
      <c r="B427">
        <v>4.6550000000000002</v>
      </c>
    </row>
    <row r="428" spans="1:2" x14ac:dyDescent="0.35">
      <c r="A428" s="85">
        <v>43697</v>
      </c>
      <c r="B428">
        <v>4.5999999999999996</v>
      </c>
    </row>
    <row r="429" spans="1:2" x14ac:dyDescent="0.35">
      <c r="A429" s="85">
        <v>43698</v>
      </c>
      <c r="B429">
        <v>4.625</v>
      </c>
    </row>
    <row r="430" spans="1:2" x14ac:dyDescent="0.35">
      <c r="A430" s="85">
        <v>43699</v>
      </c>
      <c r="B430">
        <v>4.6725000000000003</v>
      </c>
    </row>
    <row r="431" spans="1:2" x14ac:dyDescent="0.35">
      <c r="A431" s="85">
        <v>43700</v>
      </c>
      <c r="B431">
        <v>4.7525000000000004</v>
      </c>
    </row>
    <row r="432" spans="1:2" x14ac:dyDescent="0.35">
      <c r="A432" s="85">
        <v>43703</v>
      </c>
      <c r="B432">
        <v>4.7300000000000004</v>
      </c>
    </row>
    <row r="433" spans="1:2" x14ac:dyDescent="0.35">
      <c r="A433" s="85">
        <v>43704</v>
      </c>
      <c r="B433">
        <v>4.7435</v>
      </c>
    </row>
    <row r="434" spans="1:2" x14ac:dyDescent="0.35">
      <c r="A434" s="85">
        <v>43705</v>
      </c>
      <c r="B434">
        <v>4.7344999999999997</v>
      </c>
    </row>
    <row r="435" spans="1:2" x14ac:dyDescent="0.35">
      <c r="A435" s="85">
        <v>43706</v>
      </c>
      <c r="B435">
        <v>4.7154999999999996</v>
      </c>
    </row>
    <row r="436" spans="1:2" x14ac:dyDescent="0.35">
      <c r="A436" s="85">
        <v>43707</v>
      </c>
      <c r="B436">
        <v>4.6025</v>
      </c>
    </row>
    <row r="437" spans="1:2" x14ac:dyDescent="0.35">
      <c r="A437" s="85">
        <v>43711</v>
      </c>
      <c r="B437">
        <v>4.5350000000000001</v>
      </c>
    </row>
    <row r="438" spans="1:2" x14ac:dyDescent="0.35">
      <c r="A438" s="85">
        <v>43712</v>
      </c>
      <c r="B438">
        <v>4.6074999999999999</v>
      </c>
    </row>
    <row r="439" spans="1:2" x14ac:dyDescent="0.35">
      <c r="A439" s="85">
        <v>43713</v>
      </c>
      <c r="B439">
        <v>4.6624999999999996</v>
      </c>
    </row>
    <row r="440" spans="1:2" x14ac:dyDescent="0.35">
      <c r="A440" s="85">
        <v>43714</v>
      </c>
      <c r="B440">
        <v>4.6375000000000002</v>
      </c>
    </row>
    <row r="441" spans="1:2" x14ac:dyDescent="0.35">
      <c r="A441" s="85">
        <v>43717</v>
      </c>
      <c r="B441">
        <v>4.7450000000000001</v>
      </c>
    </row>
    <row r="442" spans="1:2" x14ac:dyDescent="0.35">
      <c r="A442" s="85">
        <v>43718</v>
      </c>
      <c r="B442">
        <v>4.8224999999999998</v>
      </c>
    </row>
    <row r="443" spans="1:2" x14ac:dyDescent="0.35">
      <c r="A443" s="85">
        <v>43719</v>
      </c>
      <c r="B443">
        <v>4.7750000000000004</v>
      </c>
    </row>
    <row r="444" spans="1:2" x14ac:dyDescent="0.35">
      <c r="A444" s="85">
        <v>43720</v>
      </c>
      <c r="B444">
        <v>4.8375000000000004</v>
      </c>
    </row>
    <row r="445" spans="1:2" x14ac:dyDescent="0.35">
      <c r="A445" s="85">
        <v>43721</v>
      </c>
      <c r="B445">
        <v>4.835</v>
      </c>
    </row>
    <row r="446" spans="1:2" x14ac:dyDescent="0.35">
      <c r="A446" s="85">
        <v>43724</v>
      </c>
      <c r="B446">
        <v>4.8875000000000002</v>
      </c>
    </row>
    <row r="447" spans="1:2" x14ac:dyDescent="0.35">
      <c r="A447" s="85">
        <v>43725</v>
      </c>
      <c r="B447">
        <v>4.8425000000000002</v>
      </c>
    </row>
    <row r="448" spans="1:2" x14ac:dyDescent="0.35">
      <c r="A448" s="85">
        <v>43726</v>
      </c>
      <c r="B448">
        <v>4.8949999999999996</v>
      </c>
    </row>
    <row r="449" spans="1:2" x14ac:dyDescent="0.35">
      <c r="A449" s="85">
        <v>43727</v>
      </c>
      <c r="B449">
        <v>4.88</v>
      </c>
    </row>
    <row r="450" spans="1:2" x14ac:dyDescent="0.35">
      <c r="A450" s="85">
        <v>43728</v>
      </c>
      <c r="B450">
        <v>4.8425000000000002</v>
      </c>
    </row>
    <row r="451" spans="1:2" x14ac:dyDescent="0.35">
      <c r="A451" s="85">
        <v>43731</v>
      </c>
      <c r="B451">
        <v>4.83</v>
      </c>
    </row>
    <row r="452" spans="1:2" x14ac:dyDescent="0.35">
      <c r="A452" s="85">
        <v>43732</v>
      </c>
      <c r="B452">
        <v>4.8174999999999999</v>
      </c>
    </row>
    <row r="453" spans="1:2" x14ac:dyDescent="0.35">
      <c r="A453" s="85">
        <v>43733</v>
      </c>
      <c r="B453">
        <v>4.7725</v>
      </c>
    </row>
    <row r="454" spans="1:2" x14ac:dyDescent="0.35">
      <c r="A454" s="85">
        <v>43734</v>
      </c>
      <c r="B454">
        <v>4.8425000000000002</v>
      </c>
    </row>
    <row r="455" spans="1:2" x14ac:dyDescent="0.35">
      <c r="A455" s="85">
        <v>43735</v>
      </c>
      <c r="B455">
        <v>4.8724999999999996</v>
      </c>
    </row>
    <row r="456" spans="1:2" x14ac:dyDescent="0.35">
      <c r="A456" s="85">
        <v>43738</v>
      </c>
      <c r="B456">
        <v>4.9574999999999996</v>
      </c>
    </row>
    <row r="457" spans="1:2" x14ac:dyDescent="0.35">
      <c r="A457" s="85">
        <v>43739</v>
      </c>
      <c r="B457">
        <v>4.9874999999999998</v>
      </c>
    </row>
    <row r="458" spans="1:2" x14ac:dyDescent="0.35">
      <c r="A458" s="85">
        <v>43740</v>
      </c>
      <c r="B458">
        <v>4.8899999999999997</v>
      </c>
    </row>
    <row r="459" spans="1:2" x14ac:dyDescent="0.35">
      <c r="A459" s="85">
        <v>43741</v>
      </c>
      <c r="B459">
        <v>4.8875000000000002</v>
      </c>
    </row>
    <row r="460" spans="1:2" x14ac:dyDescent="0.35">
      <c r="A460" s="85">
        <v>43742</v>
      </c>
      <c r="B460">
        <v>4.9050000000000002</v>
      </c>
    </row>
    <row r="461" spans="1:2" x14ac:dyDescent="0.35">
      <c r="A461" s="85">
        <v>43745</v>
      </c>
      <c r="B461">
        <v>4.8925000000000001</v>
      </c>
    </row>
    <row r="462" spans="1:2" x14ac:dyDescent="0.35">
      <c r="A462" s="85">
        <v>43746</v>
      </c>
      <c r="B462">
        <v>5.0025000000000004</v>
      </c>
    </row>
    <row r="463" spans="1:2" x14ac:dyDescent="0.35">
      <c r="A463" s="85">
        <v>43747</v>
      </c>
      <c r="B463">
        <v>5.0025000000000004</v>
      </c>
    </row>
    <row r="464" spans="1:2" x14ac:dyDescent="0.35">
      <c r="A464" s="85">
        <v>43748</v>
      </c>
      <c r="B464">
        <v>4.93</v>
      </c>
    </row>
    <row r="465" spans="1:2" x14ac:dyDescent="0.35">
      <c r="A465" s="85">
        <v>43749</v>
      </c>
      <c r="B465">
        <v>5.08</v>
      </c>
    </row>
    <row r="466" spans="1:2" x14ac:dyDescent="0.35">
      <c r="A466" s="85">
        <v>43752</v>
      </c>
      <c r="B466">
        <v>5.1100000000000003</v>
      </c>
    </row>
    <row r="467" spans="1:2" x14ac:dyDescent="0.35">
      <c r="A467" s="85">
        <v>43753</v>
      </c>
      <c r="B467">
        <v>5.07</v>
      </c>
    </row>
    <row r="468" spans="1:2" x14ac:dyDescent="0.35">
      <c r="A468" s="85">
        <v>43754</v>
      </c>
      <c r="B468">
        <v>5.1325000000000003</v>
      </c>
    </row>
    <row r="469" spans="1:2" x14ac:dyDescent="0.35">
      <c r="A469" s="85">
        <v>43755</v>
      </c>
      <c r="B469">
        <v>5.2549999999999999</v>
      </c>
    </row>
    <row r="470" spans="1:2" x14ac:dyDescent="0.35">
      <c r="A470" s="85">
        <v>43756</v>
      </c>
      <c r="B470">
        <v>5.3224999999999998</v>
      </c>
    </row>
    <row r="471" spans="1:2" x14ac:dyDescent="0.35">
      <c r="A471" s="85">
        <v>43759</v>
      </c>
      <c r="B471">
        <v>5.2350000000000003</v>
      </c>
    </row>
    <row r="472" spans="1:2" x14ac:dyDescent="0.35">
      <c r="A472" s="85">
        <v>43760</v>
      </c>
      <c r="B472">
        <v>5.18</v>
      </c>
    </row>
    <row r="473" spans="1:2" x14ac:dyDescent="0.35">
      <c r="A473" s="85">
        <v>43761</v>
      </c>
      <c r="B473">
        <v>5.2074999999999996</v>
      </c>
    </row>
    <row r="474" spans="1:2" x14ac:dyDescent="0.35">
      <c r="A474" s="85">
        <v>43762</v>
      </c>
      <c r="B474">
        <v>5.16</v>
      </c>
    </row>
    <row r="475" spans="1:2" x14ac:dyDescent="0.35">
      <c r="A475" s="85">
        <v>43763</v>
      </c>
      <c r="B475">
        <v>5.1775000000000002</v>
      </c>
    </row>
    <row r="476" spans="1:2" x14ac:dyDescent="0.35">
      <c r="A476" s="85">
        <v>43766</v>
      </c>
      <c r="B476">
        <v>5.1174999999999997</v>
      </c>
    </row>
    <row r="477" spans="1:2" x14ac:dyDescent="0.35">
      <c r="A477" s="85">
        <v>43767</v>
      </c>
      <c r="B477">
        <v>5.1150000000000002</v>
      </c>
    </row>
    <row r="478" spans="1:2" x14ac:dyDescent="0.35">
      <c r="A478" s="85">
        <v>43768</v>
      </c>
      <c r="B478">
        <v>5.0925000000000002</v>
      </c>
    </row>
    <row r="479" spans="1:2" x14ac:dyDescent="0.35">
      <c r="A479" s="85">
        <v>43769</v>
      </c>
      <c r="B479">
        <v>5.0875000000000004</v>
      </c>
    </row>
    <row r="480" spans="1:2" x14ac:dyDescent="0.35">
      <c r="A480" s="85">
        <v>43770</v>
      </c>
      <c r="B480">
        <v>5.16</v>
      </c>
    </row>
    <row r="481" spans="1:2" x14ac:dyDescent="0.35">
      <c r="A481" s="85">
        <v>43773</v>
      </c>
      <c r="B481">
        <v>5.0975000000000001</v>
      </c>
    </row>
    <row r="482" spans="1:2" x14ac:dyDescent="0.35">
      <c r="A482" s="85">
        <v>43774</v>
      </c>
      <c r="B482">
        <v>5.1524999999999999</v>
      </c>
    </row>
    <row r="483" spans="1:2" x14ac:dyDescent="0.35">
      <c r="A483" s="85">
        <v>43775</v>
      </c>
      <c r="B483">
        <v>5.1675000000000004</v>
      </c>
    </row>
    <row r="484" spans="1:2" x14ac:dyDescent="0.35">
      <c r="A484" s="85">
        <v>43776</v>
      </c>
      <c r="B484">
        <v>5.125</v>
      </c>
    </row>
    <row r="485" spans="1:2" x14ac:dyDescent="0.35">
      <c r="A485" s="85">
        <v>43777</v>
      </c>
      <c r="B485">
        <v>5.1025</v>
      </c>
    </row>
    <row r="486" spans="1:2" x14ac:dyDescent="0.35">
      <c r="A486" s="85">
        <v>43780</v>
      </c>
      <c r="B486">
        <v>5.0575000000000001</v>
      </c>
    </row>
    <row r="487" spans="1:2" x14ac:dyDescent="0.35">
      <c r="A487" s="85">
        <v>43781</v>
      </c>
      <c r="B487">
        <v>5.17</v>
      </c>
    </row>
    <row r="488" spans="1:2" x14ac:dyDescent="0.35">
      <c r="A488" s="85">
        <v>43782</v>
      </c>
      <c r="B488">
        <v>5.09</v>
      </c>
    </row>
    <row r="489" spans="1:2" x14ac:dyDescent="0.35">
      <c r="A489" s="85">
        <v>43783</v>
      </c>
      <c r="B489">
        <v>5.0774999999999997</v>
      </c>
    </row>
    <row r="490" spans="1:2" x14ac:dyDescent="0.35">
      <c r="A490" s="85">
        <v>43784</v>
      </c>
      <c r="B490">
        <v>5.0274999999999999</v>
      </c>
    </row>
    <row r="491" spans="1:2" x14ac:dyDescent="0.35">
      <c r="A491" s="85">
        <v>43787</v>
      </c>
      <c r="B491">
        <v>5.0724999999999998</v>
      </c>
    </row>
    <row r="492" spans="1:2" x14ac:dyDescent="0.35">
      <c r="A492" s="85">
        <v>43788</v>
      </c>
      <c r="B492">
        <v>5.12</v>
      </c>
    </row>
    <row r="493" spans="1:2" x14ac:dyDescent="0.35">
      <c r="A493" s="85">
        <v>43789</v>
      </c>
      <c r="B493">
        <v>5.1550000000000002</v>
      </c>
    </row>
    <row r="494" spans="1:2" x14ac:dyDescent="0.35">
      <c r="A494" s="85">
        <v>43790</v>
      </c>
      <c r="B494">
        <v>5.09</v>
      </c>
    </row>
    <row r="495" spans="1:2" x14ac:dyDescent="0.35">
      <c r="A495" s="85">
        <v>43791</v>
      </c>
      <c r="B495">
        <v>5.1524999999999999</v>
      </c>
    </row>
    <row r="496" spans="1:2" x14ac:dyDescent="0.35">
      <c r="A496" s="85">
        <v>43794</v>
      </c>
      <c r="B496">
        <v>5.3140000000000001</v>
      </c>
    </row>
    <row r="497" spans="1:2" x14ac:dyDescent="0.35">
      <c r="A497" s="85">
        <v>43795</v>
      </c>
      <c r="B497">
        <v>5.3055000000000003</v>
      </c>
    </row>
    <row r="498" spans="1:2" x14ac:dyDescent="0.35">
      <c r="A498" s="85">
        <v>43796</v>
      </c>
      <c r="B498">
        <v>5.2744999999999997</v>
      </c>
    </row>
    <row r="499" spans="1:2" x14ac:dyDescent="0.35">
      <c r="A499" s="85">
        <v>43798</v>
      </c>
      <c r="B499">
        <v>5.4290000000000003</v>
      </c>
    </row>
    <row r="500" spans="1:2" x14ac:dyDescent="0.35">
      <c r="A500" s="85">
        <v>43801</v>
      </c>
      <c r="B500">
        <v>5.3525</v>
      </c>
    </row>
    <row r="501" spans="1:2" x14ac:dyDescent="0.35">
      <c r="A501" s="85">
        <v>43802</v>
      </c>
      <c r="B501">
        <v>5.2525000000000004</v>
      </c>
    </row>
    <row r="502" spans="1:2" x14ac:dyDescent="0.35">
      <c r="A502" s="85">
        <v>43803</v>
      </c>
      <c r="B502">
        <v>5.2750000000000004</v>
      </c>
    </row>
    <row r="503" spans="1:2" x14ac:dyDescent="0.35">
      <c r="A503" s="85">
        <v>43804</v>
      </c>
      <c r="B503">
        <v>5.2374999999999998</v>
      </c>
    </row>
    <row r="504" spans="1:2" x14ac:dyDescent="0.35">
      <c r="A504" s="85">
        <v>43805</v>
      </c>
      <c r="B504">
        <v>5.2450000000000001</v>
      </c>
    </row>
    <row r="505" spans="1:2" x14ac:dyDescent="0.35">
      <c r="A505" s="85">
        <v>43808</v>
      </c>
      <c r="B505">
        <v>5.2275</v>
      </c>
    </row>
    <row r="506" spans="1:2" x14ac:dyDescent="0.35">
      <c r="A506" s="85">
        <v>43809</v>
      </c>
      <c r="B506">
        <v>5.2374999999999998</v>
      </c>
    </row>
    <row r="507" spans="1:2" x14ac:dyDescent="0.35">
      <c r="A507" s="85">
        <v>43810</v>
      </c>
      <c r="B507">
        <v>5.1924999999999999</v>
      </c>
    </row>
    <row r="508" spans="1:2" x14ac:dyDescent="0.35">
      <c r="A508" s="85">
        <v>43811</v>
      </c>
      <c r="B508">
        <v>5.3025000000000002</v>
      </c>
    </row>
    <row r="509" spans="1:2" x14ac:dyDescent="0.35">
      <c r="A509" s="85">
        <v>43812</v>
      </c>
      <c r="B509">
        <v>5.3250000000000002</v>
      </c>
    </row>
    <row r="510" spans="1:2" x14ac:dyDescent="0.35">
      <c r="A510" s="85">
        <v>43815</v>
      </c>
      <c r="B510">
        <v>5.4974999999999996</v>
      </c>
    </row>
    <row r="511" spans="1:2" x14ac:dyDescent="0.35">
      <c r="A511" s="85">
        <v>43816</v>
      </c>
      <c r="B511">
        <v>5.5625</v>
      </c>
    </row>
    <row r="512" spans="1:2" x14ac:dyDescent="0.35">
      <c r="A512" s="85">
        <v>43817</v>
      </c>
      <c r="B512">
        <v>5.4824999999999999</v>
      </c>
    </row>
    <row r="513" spans="1:2" x14ac:dyDescent="0.35">
      <c r="A513" s="85">
        <v>43818</v>
      </c>
      <c r="B513">
        <v>5.4524999999999997</v>
      </c>
    </row>
    <row r="514" spans="1:2" x14ac:dyDescent="0.35">
      <c r="A514" s="85">
        <v>43819</v>
      </c>
      <c r="B514">
        <v>5.4225000000000003</v>
      </c>
    </row>
    <row r="515" spans="1:2" x14ac:dyDescent="0.35">
      <c r="A515" s="85">
        <v>43822</v>
      </c>
      <c r="B515">
        <v>5.3949999999999996</v>
      </c>
    </row>
    <row r="516" spans="1:2" x14ac:dyDescent="0.35">
      <c r="A516" s="85">
        <v>43823</v>
      </c>
      <c r="B516">
        <v>5.41</v>
      </c>
    </row>
    <row r="517" spans="1:2" x14ac:dyDescent="0.35">
      <c r="A517" s="85">
        <v>43825</v>
      </c>
      <c r="B517">
        <v>5.49</v>
      </c>
    </row>
    <row r="518" spans="1:2" x14ac:dyDescent="0.35">
      <c r="A518" s="85">
        <v>43826</v>
      </c>
      <c r="B518">
        <v>5.5625</v>
      </c>
    </row>
    <row r="519" spans="1:2" x14ac:dyDescent="0.35">
      <c r="A519" s="85">
        <v>43829</v>
      </c>
      <c r="B519">
        <v>5.56</v>
      </c>
    </row>
    <row r="520" spans="1:2" x14ac:dyDescent="0.35">
      <c r="A520" s="85">
        <v>43830</v>
      </c>
      <c r="B520">
        <v>5.5875000000000004</v>
      </c>
    </row>
    <row r="521" spans="1:2" x14ac:dyDescent="0.35">
      <c r="A521" s="85">
        <v>43832</v>
      </c>
      <c r="B521">
        <v>5.6025</v>
      </c>
    </row>
    <row r="522" spans="1:2" x14ac:dyDescent="0.35">
      <c r="A522" s="85">
        <v>43833</v>
      </c>
      <c r="B522">
        <v>5.5449999999999999</v>
      </c>
    </row>
    <row r="523" spans="1:2" x14ac:dyDescent="0.35">
      <c r="A523" s="85">
        <v>43836</v>
      </c>
      <c r="B523">
        <v>5.5</v>
      </c>
    </row>
    <row r="524" spans="1:2" x14ac:dyDescent="0.35">
      <c r="A524" s="85">
        <v>43837</v>
      </c>
      <c r="B524">
        <v>5.5025000000000004</v>
      </c>
    </row>
    <row r="525" spans="1:2" x14ac:dyDescent="0.35">
      <c r="A525" s="85">
        <v>43838</v>
      </c>
      <c r="B525">
        <v>5.5274999999999999</v>
      </c>
    </row>
    <row r="526" spans="1:2" x14ac:dyDescent="0.35">
      <c r="A526" s="85">
        <v>43839</v>
      </c>
      <c r="B526">
        <v>5.6224999999999996</v>
      </c>
    </row>
    <row r="527" spans="1:2" x14ac:dyDescent="0.35">
      <c r="A527" s="85">
        <v>43840</v>
      </c>
      <c r="B527">
        <v>5.6449999999999996</v>
      </c>
    </row>
    <row r="528" spans="1:2" x14ac:dyDescent="0.35">
      <c r="A528" s="85">
        <v>43843</v>
      </c>
      <c r="B528">
        <v>5.6224999999999996</v>
      </c>
    </row>
    <row r="529" spans="1:2" x14ac:dyDescent="0.35">
      <c r="A529" s="85">
        <v>43844</v>
      </c>
      <c r="B529">
        <v>5.6849999999999996</v>
      </c>
    </row>
    <row r="530" spans="1:2" x14ac:dyDescent="0.35">
      <c r="A530" s="85">
        <v>43845</v>
      </c>
      <c r="B530">
        <v>5.7324999999999999</v>
      </c>
    </row>
    <row r="531" spans="1:2" x14ac:dyDescent="0.35">
      <c r="A531" s="85">
        <v>43846</v>
      </c>
      <c r="B531">
        <v>5.6524999999999999</v>
      </c>
    </row>
    <row r="532" spans="1:2" x14ac:dyDescent="0.35">
      <c r="A532" s="85">
        <v>43847</v>
      </c>
      <c r="B532">
        <v>5.7050000000000001</v>
      </c>
    </row>
    <row r="533" spans="1:2" x14ac:dyDescent="0.35">
      <c r="A533" s="85">
        <v>43851</v>
      </c>
      <c r="B533">
        <v>5.8150000000000004</v>
      </c>
    </row>
    <row r="534" spans="1:2" x14ac:dyDescent="0.35">
      <c r="A534" s="85">
        <v>43852</v>
      </c>
      <c r="B534">
        <v>5.7774999999999999</v>
      </c>
    </row>
    <row r="535" spans="1:2" x14ac:dyDescent="0.35">
      <c r="A535" s="85">
        <v>43853</v>
      </c>
      <c r="B535">
        <v>5.8049999999999997</v>
      </c>
    </row>
    <row r="536" spans="1:2" x14ac:dyDescent="0.35">
      <c r="A536" s="85">
        <v>43854</v>
      </c>
      <c r="B536">
        <v>5.7350000000000003</v>
      </c>
    </row>
    <row r="537" spans="1:2" x14ac:dyDescent="0.35">
      <c r="A537" s="85">
        <v>43857</v>
      </c>
      <c r="B537">
        <v>5.7225000000000001</v>
      </c>
    </row>
    <row r="538" spans="1:2" x14ac:dyDescent="0.35">
      <c r="A538" s="85">
        <v>43858</v>
      </c>
      <c r="B538">
        <v>5.6974999999999998</v>
      </c>
    </row>
    <row r="539" spans="1:2" x14ac:dyDescent="0.35">
      <c r="A539" s="85">
        <v>43859</v>
      </c>
      <c r="B539">
        <v>5.6224999999999996</v>
      </c>
    </row>
    <row r="540" spans="1:2" x14ac:dyDescent="0.35">
      <c r="A540" s="85">
        <v>43860</v>
      </c>
      <c r="B540">
        <v>5.6050000000000004</v>
      </c>
    </row>
    <row r="541" spans="1:2" x14ac:dyDescent="0.35">
      <c r="A541" s="85">
        <v>43861</v>
      </c>
      <c r="B541">
        <v>5.5374999999999996</v>
      </c>
    </row>
    <row r="542" spans="1:2" x14ac:dyDescent="0.35">
      <c r="A542" s="85">
        <v>43864</v>
      </c>
      <c r="B542">
        <v>5.5549999999999997</v>
      </c>
    </row>
    <row r="543" spans="1:2" x14ac:dyDescent="0.35">
      <c r="A543" s="85">
        <v>43865</v>
      </c>
      <c r="B543">
        <v>5.5724999999999998</v>
      </c>
    </row>
    <row r="544" spans="1:2" x14ac:dyDescent="0.35">
      <c r="A544" s="85">
        <v>43866</v>
      </c>
      <c r="B544">
        <v>5.62</v>
      </c>
    </row>
    <row r="545" spans="1:2" x14ac:dyDescent="0.35">
      <c r="A545" s="85">
        <v>43867</v>
      </c>
      <c r="B545">
        <v>5.5625</v>
      </c>
    </row>
    <row r="546" spans="1:2" x14ac:dyDescent="0.35">
      <c r="A546" s="85">
        <v>43868</v>
      </c>
      <c r="B546">
        <v>5.5875000000000004</v>
      </c>
    </row>
    <row r="547" spans="1:2" x14ac:dyDescent="0.35">
      <c r="A547" s="85">
        <v>43871</v>
      </c>
      <c r="B547">
        <v>5.52</v>
      </c>
    </row>
    <row r="548" spans="1:2" x14ac:dyDescent="0.35">
      <c r="A548" s="85">
        <v>43872</v>
      </c>
      <c r="B548">
        <v>5.42</v>
      </c>
    </row>
    <row r="549" spans="1:2" x14ac:dyDescent="0.35">
      <c r="A549" s="85">
        <v>43873</v>
      </c>
      <c r="B549">
        <v>5.4749999999999996</v>
      </c>
    </row>
    <row r="550" spans="1:2" x14ac:dyDescent="0.35">
      <c r="A550" s="85">
        <v>43874</v>
      </c>
      <c r="B550">
        <v>5.4424999999999999</v>
      </c>
    </row>
    <row r="551" spans="1:2" x14ac:dyDescent="0.35">
      <c r="A551" s="85">
        <v>43875</v>
      </c>
      <c r="B551">
        <v>5.4275000000000002</v>
      </c>
    </row>
    <row r="552" spans="1:2" x14ac:dyDescent="0.35">
      <c r="A552" s="85">
        <v>43879</v>
      </c>
      <c r="B552">
        <v>5.6675000000000004</v>
      </c>
    </row>
    <row r="553" spans="1:2" x14ac:dyDescent="0.35">
      <c r="A553" s="85">
        <v>43880</v>
      </c>
      <c r="B553">
        <v>5.6524999999999999</v>
      </c>
    </row>
    <row r="554" spans="1:2" x14ac:dyDescent="0.35">
      <c r="A554" s="85">
        <v>43881</v>
      </c>
      <c r="B554">
        <v>5.6</v>
      </c>
    </row>
    <row r="555" spans="1:2" x14ac:dyDescent="0.35">
      <c r="A555" s="85">
        <v>43882</v>
      </c>
      <c r="B555">
        <v>5.51</v>
      </c>
    </row>
    <row r="556" spans="1:2" x14ac:dyDescent="0.35">
      <c r="A556" s="85">
        <v>43885</v>
      </c>
      <c r="B556">
        <v>5.3624999999999998</v>
      </c>
    </row>
    <row r="557" spans="1:2" x14ac:dyDescent="0.35">
      <c r="A557" s="85">
        <v>43886</v>
      </c>
      <c r="B557">
        <v>5.3860000000000001</v>
      </c>
    </row>
    <row r="558" spans="1:2" x14ac:dyDescent="0.35">
      <c r="A558" s="85">
        <v>43887</v>
      </c>
      <c r="B558">
        <v>5.3845000000000001</v>
      </c>
    </row>
    <row r="559" spans="1:2" x14ac:dyDescent="0.35">
      <c r="A559" s="85">
        <v>43888</v>
      </c>
      <c r="B559">
        <v>5.282</v>
      </c>
    </row>
    <row r="560" spans="1:2" x14ac:dyDescent="0.35">
      <c r="A560" s="85">
        <v>43889</v>
      </c>
      <c r="B560">
        <v>5.258</v>
      </c>
    </row>
    <row r="561" spans="1:2" x14ac:dyDescent="0.35">
      <c r="A561" s="85">
        <v>43892</v>
      </c>
      <c r="B561">
        <v>5.2324999999999999</v>
      </c>
    </row>
    <row r="562" spans="1:2" x14ac:dyDescent="0.35">
      <c r="A562" s="85">
        <v>43893</v>
      </c>
      <c r="B562">
        <v>5.2725</v>
      </c>
    </row>
    <row r="563" spans="1:2" x14ac:dyDescent="0.35">
      <c r="A563" s="85">
        <v>43894</v>
      </c>
      <c r="B563">
        <v>5.1825000000000001</v>
      </c>
    </row>
    <row r="564" spans="1:2" x14ac:dyDescent="0.35">
      <c r="A564" s="85">
        <v>43895</v>
      </c>
      <c r="B564">
        <v>5.1875</v>
      </c>
    </row>
    <row r="565" spans="1:2" x14ac:dyDescent="0.35">
      <c r="A565" s="85">
        <v>43896</v>
      </c>
      <c r="B565">
        <v>5.1574999999999998</v>
      </c>
    </row>
    <row r="566" spans="1:2" x14ac:dyDescent="0.35">
      <c r="A566" s="85">
        <v>43899</v>
      </c>
      <c r="B566">
        <v>5.1875</v>
      </c>
    </row>
    <row r="567" spans="1:2" x14ac:dyDescent="0.35">
      <c r="A567" s="85">
        <v>43900</v>
      </c>
      <c r="B567">
        <v>5.2225000000000001</v>
      </c>
    </row>
    <row r="568" spans="1:2" x14ac:dyDescent="0.35">
      <c r="A568" s="85">
        <v>43901</v>
      </c>
      <c r="B568">
        <v>5.1275000000000004</v>
      </c>
    </row>
    <row r="569" spans="1:2" x14ac:dyDescent="0.35">
      <c r="A569" s="85">
        <v>43902</v>
      </c>
      <c r="B569">
        <v>5.0549999999999997</v>
      </c>
    </row>
    <row r="570" spans="1:2" x14ac:dyDescent="0.35">
      <c r="A570" s="85">
        <v>43903</v>
      </c>
      <c r="B570">
        <v>5.0599999999999996</v>
      </c>
    </row>
    <row r="571" spans="1:2" x14ac:dyDescent="0.35">
      <c r="A571" s="85">
        <v>43906</v>
      </c>
      <c r="B571">
        <v>4.9800000000000004</v>
      </c>
    </row>
    <row r="572" spans="1:2" x14ac:dyDescent="0.35">
      <c r="A572" s="85">
        <v>43907</v>
      </c>
      <c r="B572">
        <v>4.9924999999999997</v>
      </c>
    </row>
    <row r="573" spans="1:2" x14ac:dyDescent="0.35">
      <c r="A573" s="85">
        <v>43908</v>
      </c>
      <c r="B573">
        <v>5.0824999999999996</v>
      </c>
    </row>
    <row r="574" spans="1:2" x14ac:dyDescent="0.35">
      <c r="A574" s="85">
        <v>43909</v>
      </c>
      <c r="B574">
        <v>5.35</v>
      </c>
    </row>
    <row r="575" spans="1:2" x14ac:dyDescent="0.35">
      <c r="A575" s="85">
        <v>43910</v>
      </c>
      <c r="B575">
        <v>5.3925000000000001</v>
      </c>
    </row>
    <row r="576" spans="1:2" x14ac:dyDescent="0.35">
      <c r="A576" s="85">
        <v>43913</v>
      </c>
      <c r="B576">
        <v>5.625</v>
      </c>
    </row>
    <row r="577" spans="1:2" x14ac:dyDescent="0.35">
      <c r="A577" s="85">
        <v>43914</v>
      </c>
      <c r="B577">
        <v>5.6150000000000002</v>
      </c>
    </row>
    <row r="578" spans="1:2" x14ac:dyDescent="0.35">
      <c r="A578" s="85">
        <v>43915</v>
      </c>
      <c r="B578">
        <v>5.8</v>
      </c>
    </row>
    <row r="579" spans="1:2" x14ac:dyDescent="0.35">
      <c r="A579" s="85">
        <v>43916</v>
      </c>
      <c r="B579">
        <v>5.69</v>
      </c>
    </row>
    <row r="580" spans="1:2" x14ac:dyDescent="0.35">
      <c r="A580" s="85">
        <v>43917</v>
      </c>
      <c r="B580">
        <v>5.7125000000000004</v>
      </c>
    </row>
    <row r="581" spans="1:2" x14ac:dyDescent="0.35">
      <c r="A581" s="85">
        <v>43920</v>
      </c>
      <c r="B581">
        <v>5.6950000000000003</v>
      </c>
    </row>
    <row r="582" spans="1:2" x14ac:dyDescent="0.35">
      <c r="A582" s="85">
        <v>43921</v>
      </c>
      <c r="B582">
        <v>5.6875</v>
      </c>
    </row>
    <row r="583" spans="1:2" x14ac:dyDescent="0.35">
      <c r="A583" s="85">
        <v>43922</v>
      </c>
      <c r="B583">
        <v>5.5025000000000004</v>
      </c>
    </row>
    <row r="584" spans="1:2" x14ac:dyDescent="0.35">
      <c r="A584" s="85">
        <v>43923</v>
      </c>
      <c r="B584">
        <v>5.4175000000000004</v>
      </c>
    </row>
    <row r="585" spans="1:2" x14ac:dyDescent="0.35">
      <c r="A585" s="85">
        <v>43924</v>
      </c>
      <c r="B585">
        <v>5.4924999999999997</v>
      </c>
    </row>
    <row r="586" spans="1:2" x14ac:dyDescent="0.35">
      <c r="A586" s="85">
        <v>43927</v>
      </c>
      <c r="B586">
        <v>5.5575000000000001</v>
      </c>
    </row>
    <row r="587" spans="1:2" x14ac:dyDescent="0.35">
      <c r="A587" s="85">
        <v>43928</v>
      </c>
      <c r="B587">
        <v>5.4924999999999997</v>
      </c>
    </row>
    <row r="588" spans="1:2" x14ac:dyDescent="0.35">
      <c r="A588" s="85">
        <v>43929</v>
      </c>
      <c r="B588">
        <v>5.4824999999999999</v>
      </c>
    </row>
    <row r="589" spans="1:2" x14ac:dyDescent="0.35">
      <c r="A589" s="85">
        <v>43930</v>
      </c>
      <c r="B589">
        <v>5.5650000000000004</v>
      </c>
    </row>
    <row r="590" spans="1:2" x14ac:dyDescent="0.35">
      <c r="A590" s="85">
        <v>43934</v>
      </c>
      <c r="B590">
        <v>5.55</v>
      </c>
    </row>
    <row r="591" spans="1:2" x14ac:dyDescent="0.35">
      <c r="A591" s="85">
        <v>43935</v>
      </c>
      <c r="B591">
        <v>5.4874999999999998</v>
      </c>
    </row>
    <row r="592" spans="1:2" x14ac:dyDescent="0.35">
      <c r="A592" s="85">
        <v>43936</v>
      </c>
      <c r="B592">
        <v>5.4024999999999999</v>
      </c>
    </row>
    <row r="593" spans="1:2" x14ac:dyDescent="0.35">
      <c r="A593" s="85">
        <v>43937</v>
      </c>
      <c r="B593">
        <v>5.2975000000000003</v>
      </c>
    </row>
    <row r="594" spans="1:2" x14ac:dyDescent="0.35">
      <c r="A594" s="85">
        <v>43938</v>
      </c>
      <c r="B594">
        <v>5.335</v>
      </c>
    </row>
    <row r="595" spans="1:2" x14ac:dyDescent="0.35">
      <c r="A595" s="85">
        <v>43941</v>
      </c>
      <c r="B595">
        <v>5.4874999999999998</v>
      </c>
    </row>
    <row r="596" spans="1:2" x14ac:dyDescent="0.35">
      <c r="A596" s="85">
        <v>43942</v>
      </c>
      <c r="B596">
        <v>5.4675000000000002</v>
      </c>
    </row>
    <row r="597" spans="1:2" x14ac:dyDescent="0.35">
      <c r="A597" s="85">
        <v>43943</v>
      </c>
      <c r="B597">
        <v>5.43</v>
      </c>
    </row>
    <row r="598" spans="1:2" x14ac:dyDescent="0.35">
      <c r="A598" s="85">
        <v>43944</v>
      </c>
      <c r="B598">
        <v>5.47</v>
      </c>
    </row>
    <row r="599" spans="1:2" x14ac:dyDescent="0.35">
      <c r="A599" s="85">
        <v>43945</v>
      </c>
      <c r="B599">
        <v>5.2675000000000001</v>
      </c>
    </row>
    <row r="600" spans="1:2" x14ac:dyDescent="0.35">
      <c r="A600" s="85">
        <v>43948</v>
      </c>
      <c r="B600">
        <v>5.2175000000000002</v>
      </c>
    </row>
    <row r="601" spans="1:2" x14ac:dyDescent="0.35">
      <c r="A601" s="85">
        <v>43949</v>
      </c>
      <c r="B601">
        <v>5.2645</v>
      </c>
    </row>
    <row r="602" spans="1:2" x14ac:dyDescent="0.35">
      <c r="A602" s="85">
        <v>43950</v>
      </c>
      <c r="B602">
        <v>5.1769999999999996</v>
      </c>
    </row>
    <row r="603" spans="1:2" x14ac:dyDescent="0.35">
      <c r="A603" s="85">
        <v>43951</v>
      </c>
      <c r="B603">
        <v>5.2534999999999998</v>
      </c>
    </row>
    <row r="604" spans="1:2" x14ac:dyDescent="0.35">
      <c r="A604" s="85">
        <v>43952</v>
      </c>
      <c r="B604">
        <v>5.165</v>
      </c>
    </row>
    <row r="605" spans="1:2" x14ac:dyDescent="0.35">
      <c r="A605" s="85">
        <v>43955</v>
      </c>
      <c r="B605">
        <v>5.1950000000000003</v>
      </c>
    </row>
    <row r="606" spans="1:2" x14ac:dyDescent="0.35">
      <c r="A606" s="85">
        <v>43956</v>
      </c>
      <c r="B606">
        <v>5.2074999999999996</v>
      </c>
    </row>
    <row r="607" spans="1:2" x14ac:dyDescent="0.35">
      <c r="A607" s="85">
        <v>43957</v>
      </c>
      <c r="B607">
        <v>5.1749999999999998</v>
      </c>
    </row>
    <row r="608" spans="1:2" x14ac:dyDescent="0.35">
      <c r="A608" s="85">
        <v>43958</v>
      </c>
      <c r="B608">
        <v>5.2249999999999996</v>
      </c>
    </row>
    <row r="609" spans="1:2" x14ac:dyDescent="0.35">
      <c r="A609" s="85">
        <v>43959</v>
      </c>
      <c r="B609">
        <v>5.22</v>
      </c>
    </row>
    <row r="610" spans="1:2" x14ac:dyDescent="0.35">
      <c r="A610" s="85">
        <v>43962</v>
      </c>
      <c r="B610">
        <v>5.1725000000000003</v>
      </c>
    </row>
    <row r="611" spans="1:2" x14ac:dyDescent="0.35">
      <c r="A611" s="85">
        <v>43963</v>
      </c>
      <c r="B611">
        <v>5.1449999999999996</v>
      </c>
    </row>
    <row r="612" spans="1:2" x14ac:dyDescent="0.35">
      <c r="A612" s="85">
        <v>43964</v>
      </c>
      <c r="B612">
        <v>5.0175000000000001</v>
      </c>
    </row>
    <row r="613" spans="1:2" x14ac:dyDescent="0.35">
      <c r="A613" s="85">
        <v>43965</v>
      </c>
      <c r="B613">
        <v>5.0225</v>
      </c>
    </row>
    <row r="614" spans="1:2" x14ac:dyDescent="0.35">
      <c r="A614" s="85">
        <v>43966</v>
      </c>
      <c r="B614">
        <v>5.0025000000000004</v>
      </c>
    </row>
    <row r="615" spans="1:2" x14ac:dyDescent="0.35">
      <c r="A615" s="85">
        <v>43969</v>
      </c>
      <c r="B615">
        <v>4.97</v>
      </c>
    </row>
    <row r="616" spans="1:2" x14ac:dyDescent="0.35">
      <c r="A616" s="85">
        <v>43970</v>
      </c>
      <c r="B616">
        <v>4.9874999999999998</v>
      </c>
    </row>
    <row r="617" spans="1:2" x14ac:dyDescent="0.35">
      <c r="A617" s="85">
        <v>43971</v>
      </c>
      <c r="B617">
        <v>5.1375000000000002</v>
      </c>
    </row>
    <row r="618" spans="1:2" x14ac:dyDescent="0.35">
      <c r="A618" s="85">
        <v>43972</v>
      </c>
      <c r="B618">
        <v>5.16</v>
      </c>
    </row>
    <row r="619" spans="1:2" x14ac:dyDescent="0.35">
      <c r="A619" s="85">
        <v>43973</v>
      </c>
      <c r="B619">
        <v>5.0875000000000004</v>
      </c>
    </row>
    <row r="620" spans="1:2" x14ac:dyDescent="0.35">
      <c r="A620" s="85">
        <v>43977</v>
      </c>
      <c r="B620">
        <v>5.0674999999999999</v>
      </c>
    </row>
    <row r="621" spans="1:2" x14ac:dyDescent="0.35">
      <c r="A621" s="85">
        <v>43978</v>
      </c>
      <c r="B621">
        <v>5.0449999999999999</v>
      </c>
    </row>
    <row r="622" spans="1:2" x14ac:dyDescent="0.35">
      <c r="A622" s="85">
        <v>43979</v>
      </c>
      <c r="B622">
        <v>5.1449999999999996</v>
      </c>
    </row>
    <row r="623" spans="1:2" x14ac:dyDescent="0.35">
      <c r="A623" s="85">
        <v>43980</v>
      </c>
      <c r="B623">
        <v>5.2074999999999996</v>
      </c>
    </row>
    <row r="624" spans="1:2" x14ac:dyDescent="0.35">
      <c r="A624" s="85">
        <v>43983</v>
      </c>
      <c r="B624">
        <v>5.1524999999999999</v>
      </c>
    </row>
    <row r="625" spans="1:2" x14ac:dyDescent="0.35">
      <c r="A625" s="85">
        <v>43984</v>
      </c>
      <c r="B625">
        <v>5.08</v>
      </c>
    </row>
    <row r="626" spans="1:2" x14ac:dyDescent="0.35">
      <c r="A626" s="85">
        <v>43985</v>
      </c>
      <c r="B626">
        <v>5.12</v>
      </c>
    </row>
    <row r="627" spans="1:2" x14ac:dyDescent="0.35">
      <c r="A627" s="85">
        <v>43986</v>
      </c>
      <c r="B627">
        <v>5.2374999999999998</v>
      </c>
    </row>
    <row r="628" spans="1:2" x14ac:dyDescent="0.35">
      <c r="A628" s="85">
        <v>43987</v>
      </c>
      <c r="B628">
        <v>5.1524999999999999</v>
      </c>
    </row>
    <row r="629" spans="1:2" x14ac:dyDescent="0.35">
      <c r="A629" s="85">
        <v>43990</v>
      </c>
      <c r="B629">
        <v>5.1150000000000002</v>
      </c>
    </row>
    <row r="630" spans="1:2" x14ac:dyDescent="0.35">
      <c r="A630" s="85">
        <v>43991</v>
      </c>
      <c r="B630">
        <v>5.0449999999999999</v>
      </c>
    </row>
    <row r="631" spans="1:2" x14ac:dyDescent="0.35">
      <c r="A631" s="85">
        <v>43992</v>
      </c>
      <c r="B631">
        <v>5.0625</v>
      </c>
    </row>
    <row r="632" spans="1:2" x14ac:dyDescent="0.35">
      <c r="A632" s="85">
        <v>43993</v>
      </c>
      <c r="B632">
        <v>4.9924999999999997</v>
      </c>
    </row>
    <row r="633" spans="1:2" x14ac:dyDescent="0.35">
      <c r="A633" s="85">
        <v>43994</v>
      </c>
      <c r="B633">
        <v>5.0199999999999996</v>
      </c>
    </row>
    <row r="634" spans="1:2" x14ac:dyDescent="0.35">
      <c r="A634" s="85">
        <v>43997</v>
      </c>
      <c r="B634">
        <v>5.0475000000000003</v>
      </c>
    </row>
    <row r="635" spans="1:2" x14ac:dyDescent="0.35">
      <c r="A635" s="85">
        <v>43998</v>
      </c>
      <c r="B635">
        <v>4.96</v>
      </c>
    </row>
    <row r="636" spans="1:2" x14ac:dyDescent="0.35">
      <c r="A636" s="85">
        <v>43999</v>
      </c>
      <c r="B636">
        <v>4.8875000000000002</v>
      </c>
    </row>
    <row r="637" spans="1:2" x14ac:dyDescent="0.35">
      <c r="A637" s="85">
        <v>44000</v>
      </c>
      <c r="B637">
        <v>4.835</v>
      </c>
    </row>
    <row r="638" spans="1:2" x14ac:dyDescent="0.35">
      <c r="A638" s="85">
        <v>44001</v>
      </c>
      <c r="B638">
        <v>4.8125</v>
      </c>
    </row>
    <row r="639" spans="1:2" x14ac:dyDescent="0.35">
      <c r="A639" s="85">
        <v>44004</v>
      </c>
      <c r="B639">
        <v>4.8499999999999996</v>
      </c>
    </row>
    <row r="640" spans="1:2" x14ac:dyDescent="0.35">
      <c r="A640" s="85">
        <v>44005</v>
      </c>
      <c r="B640">
        <v>4.8600000000000003</v>
      </c>
    </row>
    <row r="641" spans="1:2" x14ac:dyDescent="0.35">
      <c r="A641" s="85">
        <v>44006</v>
      </c>
      <c r="B641">
        <v>4.8125</v>
      </c>
    </row>
    <row r="642" spans="1:2" x14ac:dyDescent="0.35">
      <c r="A642" s="85">
        <v>44007</v>
      </c>
      <c r="B642">
        <v>4.8704999999999998</v>
      </c>
    </row>
    <row r="643" spans="1:2" x14ac:dyDescent="0.35">
      <c r="A643" s="85">
        <v>44008</v>
      </c>
      <c r="B643">
        <v>4.7469999999999999</v>
      </c>
    </row>
    <row r="644" spans="1:2" x14ac:dyDescent="0.35">
      <c r="A644" s="85">
        <v>44011</v>
      </c>
      <c r="B644">
        <v>4.8609999999999998</v>
      </c>
    </row>
    <row r="645" spans="1:2" x14ac:dyDescent="0.35">
      <c r="A645" s="85">
        <v>44012</v>
      </c>
      <c r="B645">
        <v>4.9139999999999997</v>
      </c>
    </row>
    <row r="646" spans="1:2" x14ac:dyDescent="0.35">
      <c r="A646" s="85">
        <v>44013</v>
      </c>
      <c r="B646">
        <v>4.9874999999999998</v>
      </c>
    </row>
    <row r="647" spans="1:2" x14ac:dyDescent="0.35">
      <c r="A647" s="85">
        <v>44014</v>
      </c>
      <c r="B647">
        <v>4.92</v>
      </c>
    </row>
    <row r="648" spans="1:2" x14ac:dyDescent="0.35">
      <c r="A648" s="85">
        <v>44018</v>
      </c>
      <c r="B648">
        <v>4.9325000000000001</v>
      </c>
    </row>
    <row r="649" spans="1:2" x14ac:dyDescent="0.35">
      <c r="A649" s="85">
        <v>44019</v>
      </c>
      <c r="B649">
        <v>4.9524999999999997</v>
      </c>
    </row>
    <row r="650" spans="1:2" x14ac:dyDescent="0.35">
      <c r="A650" s="85">
        <v>44020</v>
      </c>
      <c r="B650">
        <v>5.165</v>
      </c>
    </row>
    <row r="651" spans="1:2" x14ac:dyDescent="0.35">
      <c r="A651" s="85">
        <v>44021</v>
      </c>
      <c r="B651">
        <v>5.25</v>
      </c>
    </row>
    <row r="652" spans="1:2" x14ac:dyDescent="0.35">
      <c r="A652" s="85">
        <v>44022</v>
      </c>
      <c r="B652">
        <v>5.34</v>
      </c>
    </row>
    <row r="653" spans="1:2" x14ac:dyDescent="0.35">
      <c r="A653" s="85">
        <v>44025</v>
      </c>
      <c r="B653">
        <v>5.2474999999999996</v>
      </c>
    </row>
    <row r="654" spans="1:2" x14ac:dyDescent="0.35">
      <c r="A654" s="85">
        <v>44026</v>
      </c>
      <c r="B654">
        <v>5.2675000000000001</v>
      </c>
    </row>
    <row r="655" spans="1:2" x14ac:dyDescent="0.35">
      <c r="A655" s="85">
        <v>44027</v>
      </c>
      <c r="B655">
        <v>5.5075000000000003</v>
      </c>
    </row>
    <row r="656" spans="1:2" x14ac:dyDescent="0.35">
      <c r="A656" s="85">
        <v>44028</v>
      </c>
      <c r="B656">
        <v>5.3525</v>
      </c>
    </row>
    <row r="657" spans="1:2" x14ac:dyDescent="0.35">
      <c r="A657" s="85">
        <v>44029</v>
      </c>
      <c r="B657">
        <v>5.3475000000000001</v>
      </c>
    </row>
    <row r="658" spans="1:2" x14ac:dyDescent="0.35">
      <c r="A658" s="85">
        <v>44032</v>
      </c>
      <c r="B658">
        <v>5.22</v>
      </c>
    </row>
    <row r="659" spans="1:2" x14ac:dyDescent="0.35">
      <c r="A659" s="85">
        <v>44033</v>
      </c>
      <c r="B659">
        <v>5.2774999999999999</v>
      </c>
    </row>
    <row r="660" spans="1:2" x14ac:dyDescent="0.35">
      <c r="A660" s="85">
        <v>44034</v>
      </c>
      <c r="B660">
        <v>5.3449999999999998</v>
      </c>
    </row>
    <row r="661" spans="1:2" x14ac:dyDescent="0.35">
      <c r="A661" s="85">
        <v>44035</v>
      </c>
      <c r="B661">
        <v>5.2949999999999999</v>
      </c>
    </row>
    <row r="662" spans="1:2" x14ac:dyDescent="0.35">
      <c r="A662" s="85">
        <v>44036</v>
      </c>
      <c r="B662">
        <v>5.3949999999999996</v>
      </c>
    </row>
    <row r="663" spans="1:2" x14ac:dyDescent="0.35">
      <c r="A663" s="85">
        <v>44039</v>
      </c>
      <c r="B663">
        <v>5.2774999999999999</v>
      </c>
    </row>
    <row r="664" spans="1:2" x14ac:dyDescent="0.35">
      <c r="A664" s="85">
        <v>44040</v>
      </c>
      <c r="B664">
        <v>5.2350000000000003</v>
      </c>
    </row>
    <row r="665" spans="1:2" x14ac:dyDescent="0.35">
      <c r="A665" s="85">
        <v>44041</v>
      </c>
      <c r="B665">
        <v>5.3274999999999997</v>
      </c>
    </row>
    <row r="666" spans="1:2" x14ac:dyDescent="0.35">
      <c r="A666" s="85">
        <v>44042</v>
      </c>
      <c r="B666">
        <v>5.2949999999999999</v>
      </c>
    </row>
    <row r="667" spans="1:2" x14ac:dyDescent="0.35">
      <c r="A667" s="85">
        <v>44043</v>
      </c>
      <c r="B667">
        <v>5.3125</v>
      </c>
    </row>
    <row r="668" spans="1:2" x14ac:dyDescent="0.35">
      <c r="A668" s="85">
        <v>44046</v>
      </c>
      <c r="B668">
        <v>5.21</v>
      </c>
    </row>
    <row r="669" spans="1:2" x14ac:dyDescent="0.35">
      <c r="A669" s="85">
        <v>44047</v>
      </c>
      <c r="B669">
        <v>5.0824999999999996</v>
      </c>
    </row>
    <row r="670" spans="1:2" x14ac:dyDescent="0.35">
      <c r="A670" s="85">
        <v>44048</v>
      </c>
      <c r="B670">
        <v>5.1074999999999999</v>
      </c>
    </row>
    <row r="671" spans="1:2" x14ac:dyDescent="0.35">
      <c r="A671" s="85">
        <v>44049</v>
      </c>
      <c r="B671">
        <v>5.0125000000000002</v>
      </c>
    </row>
    <row r="672" spans="1:2" x14ac:dyDescent="0.35">
      <c r="A672" s="85">
        <v>44050</v>
      </c>
      <c r="B672">
        <v>4.9550000000000001</v>
      </c>
    </row>
    <row r="673" spans="1:2" x14ac:dyDescent="0.35">
      <c r="A673" s="85">
        <v>44053</v>
      </c>
      <c r="B673">
        <v>4.91</v>
      </c>
    </row>
    <row r="674" spans="1:2" x14ac:dyDescent="0.35">
      <c r="A674" s="85">
        <v>44054</v>
      </c>
      <c r="B674">
        <v>4.95</v>
      </c>
    </row>
    <row r="675" spans="1:2" x14ac:dyDescent="0.35">
      <c r="A675" s="85">
        <v>44055</v>
      </c>
      <c r="B675">
        <v>4.9124999999999996</v>
      </c>
    </row>
    <row r="676" spans="1:2" x14ac:dyDescent="0.35">
      <c r="A676" s="85">
        <v>44056</v>
      </c>
      <c r="B676">
        <v>4.9675000000000002</v>
      </c>
    </row>
    <row r="677" spans="1:2" x14ac:dyDescent="0.35">
      <c r="A677" s="85">
        <v>44057</v>
      </c>
      <c r="B677">
        <v>5</v>
      </c>
    </row>
    <row r="678" spans="1:2" x14ac:dyDescent="0.35">
      <c r="A678" s="85">
        <v>44060</v>
      </c>
      <c r="B678">
        <v>5.165</v>
      </c>
    </row>
    <row r="679" spans="1:2" x14ac:dyDescent="0.35">
      <c r="A679" s="85">
        <v>44061</v>
      </c>
      <c r="B679">
        <v>5.0750000000000002</v>
      </c>
    </row>
    <row r="680" spans="1:2" x14ac:dyDescent="0.35">
      <c r="A680" s="85">
        <v>44062</v>
      </c>
      <c r="B680">
        <v>5.12</v>
      </c>
    </row>
    <row r="681" spans="1:2" x14ac:dyDescent="0.35">
      <c r="A681" s="85">
        <v>44063</v>
      </c>
      <c r="B681">
        <v>5.1950000000000003</v>
      </c>
    </row>
    <row r="682" spans="1:2" x14ac:dyDescent="0.35">
      <c r="A682" s="85">
        <v>44064</v>
      </c>
      <c r="B682">
        <v>5.2725</v>
      </c>
    </row>
    <row r="683" spans="1:2" x14ac:dyDescent="0.35">
      <c r="A683" s="85">
        <v>44067</v>
      </c>
      <c r="B683">
        <v>5.2074999999999996</v>
      </c>
    </row>
    <row r="684" spans="1:2" x14ac:dyDescent="0.35">
      <c r="A684" s="85">
        <v>44068</v>
      </c>
      <c r="B684">
        <v>5.2725</v>
      </c>
    </row>
    <row r="685" spans="1:2" x14ac:dyDescent="0.35">
      <c r="A685" s="85">
        <v>44069</v>
      </c>
      <c r="B685">
        <v>5.3354999999999997</v>
      </c>
    </row>
    <row r="686" spans="1:2" x14ac:dyDescent="0.35">
      <c r="A686" s="85">
        <v>44070</v>
      </c>
      <c r="B686">
        <v>5.4580000000000002</v>
      </c>
    </row>
    <row r="687" spans="1:2" x14ac:dyDescent="0.35">
      <c r="A687" s="85">
        <v>44071</v>
      </c>
      <c r="B687">
        <v>5.4494999999999996</v>
      </c>
    </row>
    <row r="688" spans="1:2" x14ac:dyDescent="0.35">
      <c r="A688" s="85">
        <v>44074</v>
      </c>
      <c r="B688">
        <v>5.5065</v>
      </c>
    </row>
    <row r="689" spans="1:2" x14ac:dyDescent="0.35">
      <c r="A689" s="85">
        <v>44075</v>
      </c>
      <c r="B689">
        <v>5.64</v>
      </c>
    </row>
    <row r="690" spans="1:2" x14ac:dyDescent="0.35">
      <c r="A690" s="85">
        <v>44076</v>
      </c>
      <c r="B690">
        <v>5.5824999999999996</v>
      </c>
    </row>
    <row r="691" spans="1:2" x14ac:dyDescent="0.35">
      <c r="A691" s="85">
        <v>44077</v>
      </c>
      <c r="B691">
        <v>5.5324999999999998</v>
      </c>
    </row>
    <row r="692" spans="1:2" x14ac:dyDescent="0.35">
      <c r="A692" s="85">
        <v>44078</v>
      </c>
      <c r="B692">
        <v>5.5025000000000004</v>
      </c>
    </row>
    <row r="693" spans="1:2" x14ac:dyDescent="0.35">
      <c r="A693" s="85">
        <v>44082</v>
      </c>
      <c r="B693">
        <v>5.4424999999999999</v>
      </c>
    </row>
    <row r="694" spans="1:2" x14ac:dyDescent="0.35">
      <c r="A694" s="85">
        <v>44083</v>
      </c>
      <c r="B694">
        <v>5.4375</v>
      </c>
    </row>
    <row r="695" spans="1:2" x14ac:dyDescent="0.35">
      <c r="A695" s="85">
        <v>44084</v>
      </c>
      <c r="B695">
        <v>5.4824999999999999</v>
      </c>
    </row>
    <row r="696" spans="1:2" x14ac:dyDescent="0.35">
      <c r="A696" s="85">
        <v>44085</v>
      </c>
      <c r="B696">
        <v>5.42</v>
      </c>
    </row>
    <row r="697" spans="1:2" x14ac:dyDescent="0.35">
      <c r="A697" s="85">
        <v>44088</v>
      </c>
      <c r="B697">
        <v>5.4574999999999996</v>
      </c>
    </row>
    <row r="698" spans="1:2" x14ac:dyDescent="0.35">
      <c r="A698" s="85">
        <v>44089</v>
      </c>
      <c r="B698">
        <v>5.3825000000000003</v>
      </c>
    </row>
    <row r="699" spans="1:2" x14ac:dyDescent="0.35">
      <c r="A699" s="85">
        <v>44090</v>
      </c>
      <c r="B699">
        <v>5.42</v>
      </c>
    </row>
    <row r="700" spans="1:2" x14ac:dyDescent="0.35">
      <c r="A700" s="85">
        <v>44091</v>
      </c>
      <c r="B700">
        <v>5.5625</v>
      </c>
    </row>
    <row r="701" spans="1:2" x14ac:dyDescent="0.35">
      <c r="A701" s="85">
        <v>44092</v>
      </c>
      <c r="B701">
        <v>5.75</v>
      </c>
    </row>
    <row r="702" spans="1:2" x14ac:dyDescent="0.35">
      <c r="A702" s="85">
        <v>44095</v>
      </c>
      <c r="B702">
        <v>5.5475000000000003</v>
      </c>
    </row>
    <row r="703" spans="1:2" x14ac:dyDescent="0.35">
      <c r="A703" s="85">
        <v>44096</v>
      </c>
      <c r="B703">
        <v>5.58</v>
      </c>
    </row>
    <row r="704" spans="1:2" x14ac:dyDescent="0.35">
      <c r="A704" s="85">
        <v>44097</v>
      </c>
      <c r="B704">
        <v>5.49</v>
      </c>
    </row>
    <row r="705" spans="1:2" x14ac:dyDescent="0.35">
      <c r="A705" s="85">
        <v>44098</v>
      </c>
      <c r="B705">
        <v>5.4974999999999996</v>
      </c>
    </row>
    <row r="706" spans="1:2" x14ac:dyDescent="0.35">
      <c r="A706" s="85">
        <v>44099</v>
      </c>
      <c r="B706">
        <v>5.4424999999999999</v>
      </c>
    </row>
    <row r="707" spans="1:2" x14ac:dyDescent="0.35">
      <c r="A707" s="85">
        <v>44102</v>
      </c>
      <c r="B707">
        <v>5.5025000000000004</v>
      </c>
    </row>
    <row r="708" spans="1:2" x14ac:dyDescent="0.35">
      <c r="A708" s="85">
        <v>44103</v>
      </c>
      <c r="B708">
        <v>5.4950000000000001</v>
      </c>
    </row>
    <row r="709" spans="1:2" x14ac:dyDescent="0.35">
      <c r="A709" s="85">
        <v>44104</v>
      </c>
      <c r="B709">
        <v>5.78</v>
      </c>
    </row>
    <row r="710" spans="1:2" x14ac:dyDescent="0.35">
      <c r="A710" s="85">
        <v>44105</v>
      </c>
      <c r="B710">
        <v>5.7024999999999997</v>
      </c>
    </row>
    <row r="711" spans="1:2" x14ac:dyDescent="0.35">
      <c r="A711" s="85">
        <v>44106</v>
      </c>
      <c r="B711">
        <v>5.7324999999999999</v>
      </c>
    </row>
    <row r="712" spans="1:2" x14ac:dyDescent="0.35">
      <c r="A712" s="85">
        <v>44109</v>
      </c>
      <c r="B712">
        <v>5.8425000000000002</v>
      </c>
    </row>
    <row r="713" spans="1:2" x14ac:dyDescent="0.35">
      <c r="A713" s="85">
        <v>44110</v>
      </c>
      <c r="B713">
        <v>5.9275000000000002</v>
      </c>
    </row>
    <row r="714" spans="1:2" x14ac:dyDescent="0.35">
      <c r="A714" s="85">
        <v>44111</v>
      </c>
      <c r="B714">
        <v>6.0750000000000002</v>
      </c>
    </row>
    <row r="715" spans="1:2" x14ac:dyDescent="0.35">
      <c r="A715" s="85">
        <v>44112</v>
      </c>
      <c r="B715">
        <v>5.9524999999999997</v>
      </c>
    </row>
    <row r="716" spans="1:2" x14ac:dyDescent="0.35">
      <c r="A716" s="85">
        <v>44113</v>
      </c>
      <c r="B716">
        <v>5.9375</v>
      </c>
    </row>
    <row r="717" spans="1:2" x14ac:dyDescent="0.35">
      <c r="A717" s="85">
        <v>44116</v>
      </c>
      <c r="B717">
        <v>5.9424999999999999</v>
      </c>
    </row>
    <row r="718" spans="1:2" x14ac:dyDescent="0.35">
      <c r="A718" s="85">
        <v>44117</v>
      </c>
      <c r="B718">
        <v>5.94</v>
      </c>
    </row>
    <row r="719" spans="1:2" x14ac:dyDescent="0.35">
      <c r="A719" s="85">
        <v>44118</v>
      </c>
      <c r="B719">
        <v>5.9675000000000002</v>
      </c>
    </row>
    <row r="720" spans="1:2" x14ac:dyDescent="0.35">
      <c r="A720" s="85">
        <v>44119</v>
      </c>
      <c r="B720">
        <v>6.1825000000000001</v>
      </c>
    </row>
    <row r="721" spans="1:2" x14ac:dyDescent="0.35">
      <c r="A721" s="85">
        <v>44120</v>
      </c>
      <c r="B721">
        <v>6.2525000000000004</v>
      </c>
    </row>
    <row r="722" spans="1:2" x14ac:dyDescent="0.35">
      <c r="A722" s="85">
        <v>44123</v>
      </c>
      <c r="B722">
        <v>6.27</v>
      </c>
    </row>
    <row r="723" spans="1:2" x14ac:dyDescent="0.35">
      <c r="A723" s="85">
        <v>44124</v>
      </c>
      <c r="B723">
        <v>6.32</v>
      </c>
    </row>
    <row r="724" spans="1:2" x14ac:dyDescent="0.35">
      <c r="A724" s="85">
        <v>44125</v>
      </c>
      <c r="B724">
        <v>6.2975000000000003</v>
      </c>
    </row>
    <row r="725" spans="1:2" x14ac:dyDescent="0.35">
      <c r="A725" s="85">
        <v>44126</v>
      </c>
      <c r="B725">
        <v>6.2275</v>
      </c>
    </row>
    <row r="726" spans="1:2" x14ac:dyDescent="0.35">
      <c r="A726" s="85">
        <v>44127</v>
      </c>
      <c r="B726">
        <v>6.3274999999999997</v>
      </c>
    </row>
    <row r="727" spans="1:2" x14ac:dyDescent="0.35">
      <c r="A727" s="85">
        <v>44130</v>
      </c>
      <c r="B727">
        <v>6.2</v>
      </c>
    </row>
    <row r="728" spans="1:2" x14ac:dyDescent="0.35">
      <c r="A728" s="85">
        <v>44131</v>
      </c>
      <c r="B728">
        <v>6.1574999999999998</v>
      </c>
    </row>
    <row r="729" spans="1:2" x14ac:dyDescent="0.35">
      <c r="A729" s="85">
        <v>44132</v>
      </c>
      <c r="B729">
        <v>6.0875000000000004</v>
      </c>
    </row>
    <row r="730" spans="1:2" x14ac:dyDescent="0.35">
      <c r="A730" s="85">
        <v>44133</v>
      </c>
      <c r="B730">
        <v>6.0374999999999996</v>
      </c>
    </row>
    <row r="731" spans="1:2" x14ac:dyDescent="0.35">
      <c r="A731" s="85">
        <v>44134</v>
      </c>
      <c r="B731">
        <v>5.9850000000000003</v>
      </c>
    </row>
    <row r="732" spans="1:2" x14ac:dyDescent="0.35">
      <c r="A732" s="85">
        <v>44137</v>
      </c>
      <c r="B732">
        <v>6.0750000000000002</v>
      </c>
    </row>
    <row r="733" spans="1:2" x14ac:dyDescent="0.35">
      <c r="A733" s="85">
        <v>44138</v>
      </c>
      <c r="B733">
        <v>6.08</v>
      </c>
    </row>
    <row r="734" spans="1:2" x14ac:dyDescent="0.35">
      <c r="A734" s="85">
        <v>44139</v>
      </c>
      <c r="B734">
        <v>6.06</v>
      </c>
    </row>
    <row r="735" spans="1:2" x14ac:dyDescent="0.35">
      <c r="A735" s="85">
        <v>44140</v>
      </c>
      <c r="B735">
        <v>6.0925000000000002</v>
      </c>
    </row>
    <row r="736" spans="1:2" x14ac:dyDescent="0.35">
      <c r="A736" s="85">
        <v>44141</v>
      </c>
      <c r="B736">
        <v>6.02</v>
      </c>
    </row>
    <row r="737" spans="1:2" x14ac:dyDescent="0.35">
      <c r="A737" s="85">
        <v>44144</v>
      </c>
      <c r="B737">
        <v>5.9749999999999996</v>
      </c>
    </row>
    <row r="738" spans="1:2" x14ac:dyDescent="0.35">
      <c r="A738" s="85">
        <v>44145</v>
      </c>
      <c r="B738">
        <v>6.085</v>
      </c>
    </row>
    <row r="739" spans="1:2" x14ac:dyDescent="0.35">
      <c r="A739" s="85">
        <v>44146</v>
      </c>
      <c r="B739">
        <v>5.98</v>
      </c>
    </row>
    <row r="740" spans="1:2" x14ac:dyDescent="0.35">
      <c r="A740" s="85">
        <v>44147</v>
      </c>
      <c r="B740">
        <v>5.8825000000000003</v>
      </c>
    </row>
    <row r="741" spans="1:2" x14ac:dyDescent="0.35">
      <c r="A741" s="85">
        <v>44148</v>
      </c>
      <c r="B741">
        <v>5.9349999999999996</v>
      </c>
    </row>
    <row r="742" spans="1:2" x14ac:dyDescent="0.35">
      <c r="A742" s="85">
        <v>44151</v>
      </c>
      <c r="B742">
        <v>5.98</v>
      </c>
    </row>
    <row r="743" spans="1:2" x14ac:dyDescent="0.35">
      <c r="A743" s="85">
        <v>44152</v>
      </c>
      <c r="B743">
        <v>5.9524999999999997</v>
      </c>
    </row>
    <row r="744" spans="1:2" x14ac:dyDescent="0.35">
      <c r="A744" s="85">
        <v>44153</v>
      </c>
      <c r="B744">
        <v>5.9775</v>
      </c>
    </row>
    <row r="745" spans="1:2" x14ac:dyDescent="0.35">
      <c r="A745" s="85">
        <v>44154</v>
      </c>
      <c r="B745">
        <v>5.9175000000000004</v>
      </c>
    </row>
    <row r="746" spans="1:2" x14ac:dyDescent="0.35">
      <c r="A746" s="85">
        <v>44155</v>
      </c>
      <c r="B746">
        <v>5.9325000000000001</v>
      </c>
    </row>
    <row r="747" spans="1:2" x14ac:dyDescent="0.35">
      <c r="A747" s="85">
        <v>44158</v>
      </c>
      <c r="B747">
        <v>5.9874999999999998</v>
      </c>
    </row>
    <row r="748" spans="1:2" x14ac:dyDescent="0.35">
      <c r="A748" s="85">
        <v>44159</v>
      </c>
      <c r="B748">
        <v>6.125</v>
      </c>
    </row>
    <row r="749" spans="1:2" x14ac:dyDescent="0.35">
      <c r="A749" s="85">
        <v>44160</v>
      </c>
      <c r="B749">
        <v>5.9154999999999998</v>
      </c>
    </row>
    <row r="750" spans="1:2" x14ac:dyDescent="0.35">
      <c r="A750" s="85">
        <v>44162</v>
      </c>
      <c r="B750">
        <v>6.0220000000000002</v>
      </c>
    </row>
    <row r="751" spans="1:2" x14ac:dyDescent="0.35">
      <c r="A751" s="85">
        <v>44165</v>
      </c>
      <c r="B751">
        <v>5.8404999999999996</v>
      </c>
    </row>
    <row r="752" spans="1:2" x14ac:dyDescent="0.35">
      <c r="A752" s="85">
        <v>44166</v>
      </c>
      <c r="B752">
        <v>5.7725</v>
      </c>
    </row>
    <row r="753" spans="1:2" x14ac:dyDescent="0.35">
      <c r="A753" s="85">
        <v>44167</v>
      </c>
      <c r="B753">
        <v>5.8849999999999998</v>
      </c>
    </row>
    <row r="754" spans="1:2" x14ac:dyDescent="0.35">
      <c r="A754" s="85">
        <v>44168</v>
      </c>
      <c r="B754">
        <v>5.8449999999999998</v>
      </c>
    </row>
    <row r="755" spans="1:2" x14ac:dyDescent="0.35">
      <c r="A755" s="85">
        <v>44169</v>
      </c>
      <c r="B755">
        <v>5.7549999999999999</v>
      </c>
    </row>
    <row r="756" spans="1:2" x14ac:dyDescent="0.35">
      <c r="A756" s="85">
        <v>44172</v>
      </c>
      <c r="B756">
        <v>5.7750000000000004</v>
      </c>
    </row>
    <row r="757" spans="1:2" x14ac:dyDescent="0.35">
      <c r="A757" s="85">
        <v>44173</v>
      </c>
      <c r="B757">
        <v>5.7</v>
      </c>
    </row>
    <row r="758" spans="1:2" x14ac:dyDescent="0.35">
      <c r="A758" s="85">
        <v>44174</v>
      </c>
      <c r="B758">
        <v>5.8324999999999996</v>
      </c>
    </row>
    <row r="759" spans="1:2" x14ac:dyDescent="0.35">
      <c r="A759" s="85">
        <v>44175</v>
      </c>
      <c r="B759">
        <v>5.9649999999999999</v>
      </c>
    </row>
    <row r="760" spans="1:2" x14ac:dyDescent="0.35">
      <c r="A760" s="85">
        <v>44176</v>
      </c>
      <c r="B760">
        <v>6.1449999999999996</v>
      </c>
    </row>
    <row r="761" spans="1:2" x14ac:dyDescent="0.35">
      <c r="A761" s="85">
        <v>44179</v>
      </c>
      <c r="B761">
        <v>5.9649999999999999</v>
      </c>
    </row>
    <row r="762" spans="1:2" x14ac:dyDescent="0.35">
      <c r="A762" s="85">
        <v>44180</v>
      </c>
      <c r="B762">
        <v>5.9974999999999996</v>
      </c>
    </row>
    <row r="763" spans="1:2" x14ac:dyDescent="0.35">
      <c r="A763" s="85">
        <v>44181</v>
      </c>
      <c r="B763">
        <v>5.9850000000000003</v>
      </c>
    </row>
    <row r="764" spans="1:2" x14ac:dyDescent="0.35">
      <c r="A764" s="85">
        <v>44182</v>
      </c>
      <c r="B764">
        <v>6.0875000000000004</v>
      </c>
    </row>
    <row r="765" spans="1:2" x14ac:dyDescent="0.35">
      <c r="A765" s="85">
        <v>44183</v>
      </c>
      <c r="B765">
        <v>6.0824999999999996</v>
      </c>
    </row>
    <row r="766" spans="1:2" x14ac:dyDescent="0.35">
      <c r="A766" s="85">
        <v>44186</v>
      </c>
      <c r="B766">
        <v>6.1124999999999998</v>
      </c>
    </row>
    <row r="767" spans="1:2" x14ac:dyDescent="0.35">
      <c r="A767" s="85">
        <v>44187</v>
      </c>
      <c r="B767">
        <v>6.17</v>
      </c>
    </row>
    <row r="768" spans="1:2" x14ac:dyDescent="0.35">
      <c r="A768" s="85">
        <v>44188</v>
      </c>
      <c r="B768">
        <v>6.2975000000000003</v>
      </c>
    </row>
    <row r="769" spans="1:2" x14ac:dyDescent="0.35">
      <c r="A769" s="85">
        <v>44189</v>
      </c>
      <c r="B769">
        <v>6.27</v>
      </c>
    </row>
    <row r="770" spans="1:2" x14ac:dyDescent="0.35">
      <c r="A770" s="85">
        <v>44193</v>
      </c>
      <c r="B770">
        <v>6.1425000000000001</v>
      </c>
    </row>
    <row r="771" spans="1:2" x14ac:dyDescent="0.35">
      <c r="A771" s="85">
        <v>44194</v>
      </c>
      <c r="B771">
        <v>6.1849999999999996</v>
      </c>
    </row>
    <row r="772" spans="1:2" x14ac:dyDescent="0.35">
      <c r="A772" s="85">
        <v>44195</v>
      </c>
      <c r="B772">
        <v>6.4074999999999998</v>
      </c>
    </row>
    <row r="773" spans="1:2" x14ac:dyDescent="0.35">
      <c r="A773" s="85">
        <v>44196</v>
      </c>
      <c r="B773">
        <v>6.4050000000000002</v>
      </c>
    </row>
    <row r="774" spans="1:2" x14ac:dyDescent="0.35">
      <c r="A774" s="85">
        <v>44200</v>
      </c>
      <c r="B774">
        <v>6.42</v>
      </c>
    </row>
    <row r="775" spans="1:2" x14ac:dyDescent="0.35">
      <c r="A775" s="85">
        <v>44201</v>
      </c>
      <c r="B775">
        <v>6.54</v>
      </c>
    </row>
    <row r="776" spans="1:2" x14ac:dyDescent="0.35">
      <c r="A776" s="85">
        <v>44202</v>
      </c>
      <c r="B776">
        <v>6.4749999999999996</v>
      </c>
    </row>
    <row r="777" spans="1:2" x14ac:dyDescent="0.35">
      <c r="A777" s="85">
        <v>44203</v>
      </c>
      <c r="B777">
        <v>6.4225000000000003</v>
      </c>
    </row>
    <row r="778" spans="1:2" x14ac:dyDescent="0.35">
      <c r="A778" s="85">
        <v>44204</v>
      </c>
      <c r="B778">
        <v>6.3875000000000002</v>
      </c>
    </row>
    <row r="779" spans="1:2" x14ac:dyDescent="0.35">
      <c r="A779" s="85">
        <v>44207</v>
      </c>
      <c r="B779">
        <v>6.3475000000000001</v>
      </c>
    </row>
    <row r="780" spans="1:2" x14ac:dyDescent="0.35">
      <c r="A780" s="85">
        <v>44208</v>
      </c>
      <c r="B780">
        <v>6.65</v>
      </c>
    </row>
    <row r="781" spans="1:2" x14ac:dyDescent="0.35">
      <c r="A781" s="85">
        <v>44209</v>
      </c>
      <c r="B781">
        <v>6.6050000000000004</v>
      </c>
    </row>
    <row r="782" spans="1:2" x14ac:dyDescent="0.35">
      <c r="A782" s="85">
        <v>44210</v>
      </c>
      <c r="B782">
        <v>6.7</v>
      </c>
    </row>
    <row r="783" spans="1:2" x14ac:dyDescent="0.35">
      <c r="A783" s="85">
        <v>44211</v>
      </c>
      <c r="B783">
        <v>6.7549999999999999</v>
      </c>
    </row>
    <row r="784" spans="1:2" x14ac:dyDescent="0.35">
      <c r="A784" s="85">
        <v>44215</v>
      </c>
      <c r="B784">
        <v>6.7225000000000001</v>
      </c>
    </row>
    <row r="785" spans="1:2" x14ac:dyDescent="0.35">
      <c r="A785" s="85">
        <v>44216</v>
      </c>
      <c r="B785">
        <v>6.6775000000000002</v>
      </c>
    </row>
    <row r="786" spans="1:2" x14ac:dyDescent="0.35">
      <c r="A786" s="85">
        <v>44217</v>
      </c>
      <c r="B786">
        <v>6.6074999999999999</v>
      </c>
    </row>
    <row r="787" spans="1:2" x14ac:dyDescent="0.35">
      <c r="A787" s="85">
        <v>44218</v>
      </c>
      <c r="B787">
        <v>6.3449999999999998</v>
      </c>
    </row>
    <row r="788" spans="1:2" x14ac:dyDescent="0.35">
      <c r="A788" s="85">
        <v>44221</v>
      </c>
      <c r="B788">
        <v>6.4850000000000003</v>
      </c>
    </row>
    <row r="789" spans="1:2" x14ac:dyDescent="0.35">
      <c r="A789" s="85">
        <v>44222</v>
      </c>
      <c r="B789">
        <v>6.6524999999999999</v>
      </c>
    </row>
    <row r="790" spans="1:2" x14ac:dyDescent="0.35">
      <c r="A790" s="85">
        <v>44223</v>
      </c>
      <c r="B790">
        <v>6.5824999999999996</v>
      </c>
    </row>
    <row r="791" spans="1:2" x14ac:dyDescent="0.35">
      <c r="A791" s="85">
        <v>44224</v>
      </c>
      <c r="B791">
        <v>6.47</v>
      </c>
    </row>
    <row r="792" spans="1:2" x14ac:dyDescent="0.35">
      <c r="A792" s="85">
        <v>44225</v>
      </c>
      <c r="B792">
        <v>6.63</v>
      </c>
    </row>
    <row r="793" spans="1:2" x14ac:dyDescent="0.35">
      <c r="A793" s="85">
        <v>44228</v>
      </c>
      <c r="B793">
        <v>6.51</v>
      </c>
    </row>
    <row r="794" spans="1:2" x14ac:dyDescent="0.35">
      <c r="A794" s="85">
        <v>44229</v>
      </c>
      <c r="B794">
        <v>6.4474999999999998</v>
      </c>
    </row>
    <row r="795" spans="1:2" x14ac:dyDescent="0.35">
      <c r="A795" s="85">
        <v>44230</v>
      </c>
      <c r="B795">
        <v>6.4824999999999999</v>
      </c>
    </row>
    <row r="796" spans="1:2" x14ac:dyDescent="0.35">
      <c r="A796" s="85">
        <v>44231</v>
      </c>
      <c r="B796">
        <v>6.375</v>
      </c>
    </row>
    <row r="797" spans="1:2" x14ac:dyDescent="0.35">
      <c r="A797" s="85">
        <v>44232</v>
      </c>
      <c r="B797">
        <v>6.4124999999999996</v>
      </c>
    </row>
    <row r="798" spans="1:2" x14ac:dyDescent="0.35">
      <c r="A798" s="85">
        <v>44235</v>
      </c>
      <c r="B798">
        <v>6.5575000000000001</v>
      </c>
    </row>
    <row r="799" spans="1:2" x14ac:dyDescent="0.35">
      <c r="A799" s="85">
        <v>44236</v>
      </c>
      <c r="B799">
        <v>6.4950000000000001</v>
      </c>
    </row>
    <row r="800" spans="1:2" x14ac:dyDescent="0.35">
      <c r="A800" s="85">
        <v>44237</v>
      </c>
      <c r="B800">
        <v>6.3550000000000004</v>
      </c>
    </row>
    <row r="801" spans="1:2" x14ac:dyDescent="0.35">
      <c r="A801" s="85">
        <v>44238</v>
      </c>
      <c r="B801">
        <v>6.335</v>
      </c>
    </row>
    <row r="802" spans="1:2" x14ac:dyDescent="0.35">
      <c r="A802" s="85">
        <v>44239</v>
      </c>
      <c r="B802">
        <v>6.3674999999999997</v>
      </c>
    </row>
    <row r="803" spans="1:2" x14ac:dyDescent="0.35">
      <c r="A803" s="85">
        <v>44243</v>
      </c>
      <c r="B803">
        <v>6.5750000000000002</v>
      </c>
    </row>
    <row r="804" spans="1:2" x14ac:dyDescent="0.35">
      <c r="A804" s="85">
        <v>44244</v>
      </c>
      <c r="B804">
        <v>6.44</v>
      </c>
    </row>
    <row r="805" spans="1:2" x14ac:dyDescent="0.35">
      <c r="A805" s="85">
        <v>44245</v>
      </c>
      <c r="B805">
        <v>6.625</v>
      </c>
    </row>
    <row r="806" spans="1:2" x14ac:dyDescent="0.35">
      <c r="A806" s="85">
        <v>44246</v>
      </c>
      <c r="B806">
        <v>6.5075000000000003</v>
      </c>
    </row>
    <row r="807" spans="1:2" x14ac:dyDescent="0.35">
      <c r="A807" s="85">
        <v>44249</v>
      </c>
      <c r="B807">
        <v>6.64</v>
      </c>
    </row>
    <row r="808" spans="1:2" x14ac:dyDescent="0.35">
      <c r="A808" s="85">
        <v>44250</v>
      </c>
      <c r="B808">
        <v>6.6665000000000001</v>
      </c>
    </row>
    <row r="809" spans="1:2" x14ac:dyDescent="0.35">
      <c r="A809" s="85">
        <v>44251</v>
      </c>
      <c r="B809">
        <v>6.8235000000000001</v>
      </c>
    </row>
    <row r="810" spans="1:2" x14ac:dyDescent="0.35">
      <c r="A810" s="85">
        <v>44252</v>
      </c>
      <c r="B810">
        <v>6.7415000000000003</v>
      </c>
    </row>
    <row r="811" spans="1:2" x14ac:dyDescent="0.35">
      <c r="A811" s="85">
        <v>44253</v>
      </c>
      <c r="B811">
        <v>6.5919999999999996</v>
      </c>
    </row>
    <row r="812" spans="1:2" x14ac:dyDescent="0.35">
      <c r="A812" s="85">
        <v>44256</v>
      </c>
      <c r="B812">
        <v>6.5025000000000004</v>
      </c>
    </row>
    <row r="813" spans="1:2" x14ac:dyDescent="0.35">
      <c r="A813" s="85">
        <v>44257</v>
      </c>
      <c r="B813">
        <v>6.6624999999999996</v>
      </c>
    </row>
    <row r="814" spans="1:2" x14ac:dyDescent="0.35">
      <c r="A814" s="85">
        <v>44258</v>
      </c>
      <c r="B814">
        <v>6.56</v>
      </c>
    </row>
    <row r="815" spans="1:2" x14ac:dyDescent="0.35">
      <c r="A815" s="85">
        <v>44259</v>
      </c>
      <c r="B815">
        <v>6.51</v>
      </c>
    </row>
    <row r="816" spans="1:2" x14ac:dyDescent="0.35">
      <c r="A816" s="85">
        <v>44260</v>
      </c>
      <c r="B816">
        <v>6.53</v>
      </c>
    </row>
    <row r="817" spans="1:2" x14ac:dyDescent="0.35">
      <c r="A817" s="85">
        <v>44263</v>
      </c>
      <c r="B817">
        <v>6.4649999999999999</v>
      </c>
    </row>
    <row r="818" spans="1:2" x14ac:dyDescent="0.35">
      <c r="A818" s="85">
        <v>44264</v>
      </c>
      <c r="B818">
        <v>6.5650000000000004</v>
      </c>
    </row>
    <row r="819" spans="1:2" x14ac:dyDescent="0.35">
      <c r="A819" s="85">
        <v>44265</v>
      </c>
      <c r="B819">
        <v>6.5250000000000004</v>
      </c>
    </row>
    <row r="820" spans="1:2" x14ac:dyDescent="0.35">
      <c r="A820" s="85">
        <v>44266</v>
      </c>
      <c r="B820">
        <v>6.4249999999999998</v>
      </c>
    </row>
    <row r="821" spans="1:2" x14ac:dyDescent="0.35">
      <c r="A821" s="85">
        <v>44267</v>
      </c>
      <c r="B821">
        <v>6.3849999999999998</v>
      </c>
    </row>
    <row r="822" spans="1:2" x14ac:dyDescent="0.35">
      <c r="A822" s="85">
        <v>44270</v>
      </c>
      <c r="B822">
        <v>6.45</v>
      </c>
    </row>
    <row r="823" spans="1:2" x14ac:dyDescent="0.35">
      <c r="A823" s="85">
        <v>44271</v>
      </c>
      <c r="B823">
        <v>6.47</v>
      </c>
    </row>
    <row r="824" spans="1:2" x14ac:dyDescent="0.35">
      <c r="A824" s="85">
        <v>44272</v>
      </c>
      <c r="B824">
        <v>6.4</v>
      </c>
    </row>
    <row r="825" spans="1:2" x14ac:dyDescent="0.35">
      <c r="A825" s="85">
        <v>44273</v>
      </c>
      <c r="B825">
        <v>6.3049999999999997</v>
      </c>
    </row>
    <row r="826" spans="1:2" x14ac:dyDescent="0.35">
      <c r="A826" s="85">
        <v>44274</v>
      </c>
      <c r="B826">
        <v>6.27</v>
      </c>
    </row>
    <row r="827" spans="1:2" x14ac:dyDescent="0.35">
      <c r="A827" s="85">
        <v>44277</v>
      </c>
      <c r="B827">
        <v>6.2725</v>
      </c>
    </row>
    <row r="828" spans="1:2" x14ac:dyDescent="0.35">
      <c r="A828" s="85">
        <v>44278</v>
      </c>
      <c r="B828">
        <v>6.3475000000000001</v>
      </c>
    </row>
    <row r="829" spans="1:2" x14ac:dyDescent="0.35">
      <c r="A829" s="85">
        <v>44279</v>
      </c>
      <c r="B829">
        <v>6.2474999999999996</v>
      </c>
    </row>
    <row r="830" spans="1:2" x14ac:dyDescent="0.35">
      <c r="A830" s="85">
        <v>44280</v>
      </c>
      <c r="B830">
        <v>6.125</v>
      </c>
    </row>
    <row r="831" spans="1:2" x14ac:dyDescent="0.35">
      <c r="A831" s="85">
        <v>44281</v>
      </c>
      <c r="B831">
        <v>6.1325000000000003</v>
      </c>
    </row>
    <row r="832" spans="1:2" x14ac:dyDescent="0.35">
      <c r="A832" s="85">
        <v>44284</v>
      </c>
      <c r="B832">
        <v>6.1675000000000004</v>
      </c>
    </row>
    <row r="833" spans="1:2" x14ac:dyDescent="0.35">
      <c r="A833" s="85">
        <v>44285</v>
      </c>
      <c r="B833">
        <v>6.0175000000000001</v>
      </c>
    </row>
    <row r="834" spans="1:2" x14ac:dyDescent="0.35">
      <c r="A834" s="85">
        <v>44286</v>
      </c>
      <c r="B834">
        <v>6.18</v>
      </c>
    </row>
    <row r="835" spans="1:2" x14ac:dyDescent="0.35">
      <c r="A835" s="85">
        <v>44287</v>
      </c>
      <c r="B835">
        <v>6.11</v>
      </c>
    </row>
    <row r="836" spans="1:2" x14ac:dyDescent="0.35">
      <c r="A836" s="85">
        <v>44291</v>
      </c>
      <c r="B836">
        <v>6.18</v>
      </c>
    </row>
    <row r="837" spans="1:2" x14ac:dyDescent="0.35">
      <c r="A837" s="85">
        <v>44292</v>
      </c>
      <c r="B837">
        <v>6.1550000000000002</v>
      </c>
    </row>
    <row r="838" spans="1:2" x14ac:dyDescent="0.35">
      <c r="A838" s="85">
        <v>44293</v>
      </c>
      <c r="B838">
        <v>6.1624999999999996</v>
      </c>
    </row>
    <row r="839" spans="1:2" x14ac:dyDescent="0.35">
      <c r="A839" s="85">
        <v>44294</v>
      </c>
      <c r="B839">
        <v>6.2874999999999996</v>
      </c>
    </row>
    <row r="840" spans="1:2" x14ac:dyDescent="0.35">
      <c r="A840" s="85">
        <v>44295</v>
      </c>
      <c r="B840">
        <v>6.3875000000000002</v>
      </c>
    </row>
    <row r="841" spans="1:2" x14ac:dyDescent="0.35">
      <c r="A841" s="85">
        <v>44298</v>
      </c>
      <c r="B841">
        <v>6.28</v>
      </c>
    </row>
    <row r="842" spans="1:2" x14ac:dyDescent="0.35">
      <c r="A842" s="85">
        <v>44299</v>
      </c>
      <c r="B842">
        <v>6.2975000000000003</v>
      </c>
    </row>
    <row r="843" spans="1:2" x14ac:dyDescent="0.35">
      <c r="A843" s="85">
        <v>44300</v>
      </c>
      <c r="B843">
        <v>6.48</v>
      </c>
    </row>
    <row r="844" spans="1:2" x14ac:dyDescent="0.35">
      <c r="A844" s="85">
        <v>44301</v>
      </c>
      <c r="B844">
        <v>6.5374999999999996</v>
      </c>
    </row>
    <row r="845" spans="1:2" x14ac:dyDescent="0.35">
      <c r="A845" s="85">
        <v>44302</v>
      </c>
      <c r="B845">
        <v>6.5250000000000004</v>
      </c>
    </row>
    <row r="846" spans="1:2" x14ac:dyDescent="0.35">
      <c r="A846" s="85">
        <v>44305</v>
      </c>
      <c r="B846">
        <v>6.5225</v>
      </c>
    </row>
    <row r="847" spans="1:2" x14ac:dyDescent="0.35">
      <c r="A847" s="85">
        <v>44306</v>
      </c>
      <c r="B847">
        <v>6.5975000000000001</v>
      </c>
    </row>
    <row r="848" spans="1:2" x14ac:dyDescent="0.35">
      <c r="A848" s="85">
        <v>44307</v>
      </c>
      <c r="B848">
        <v>6.7324999999999999</v>
      </c>
    </row>
    <row r="849" spans="1:2" x14ac:dyDescent="0.35">
      <c r="A849" s="85">
        <v>44308</v>
      </c>
      <c r="B849">
        <v>7.1025</v>
      </c>
    </row>
    <row r="850" spans="1:2" x14ac:dyDescent="0.35">
      <c r="A850" s="85">
        <v>44309</v>
      </c>
      <c r="B850">
        <v>7.1025</v>
      </c>
    </row>
    <row r="851" spans="1:2" x14ac:dyDescent="0.35">
      <c r="A851" s="85">
        <v>44312</v>
      </c>
      <c r="B851">
        <v>7.3949999999999996</v>
      </c>
    </row>
    <row r="852" spans="1:2" x14ac:dyDescent="0.35">
      <c r="A852" s="85">
        <v>44313</v>
      </c>
      <c r="B852">
        <v>7.3354999999999997</v>
      </c>
    </row>
    <row r="853" spans="1:2" x14ac:dyDescent="0.35">
      <c r="A853" s="85">
        <v>44314</v>
      </c>
      <c r="B853">
        <v>7.2424999999999997</v>
      </c>
    </row>
    <row r="854" spans="1:2" x14ac:dyDescent="0.35">
      <c r="A854" s="85">
        <v>44315</v>
      </c>
      <c r="B854">
        <v>7.3239999999999998</v>
      </c>
    </row>
    <row r="855" spans="1:2" x14ac:dyDescent="0.35">
      <c r="A855" s="85">
        <v>44316</v>
      </c>
      <c r="B855">
        <v>7.3630000000000004</v>
      </c>
    </row>
    <row r="856" spans="1:2" x14ac:dyDescent="0.35">
      <c r="A856" s="85">
        <v>44319</v>
      </c>
      <c r="B856">
        <v>7.18</v>
      </c>
    </row>
    <row r="857" spans="1:2" x14ac:dyDescent="0.35">
      <c r="A857" s="85">
        <v>44320</v>
      </c>
      <c r="B857">
        <v>7.2675000000000001</v>
      </c>
    </row>
    <row r="858" spans="1:2" x14ac:dyDescent="0.35">
      <c r="A858" s="85">
        <v>44321</v>
      </c>
      <c r="B858">
        <v>7.4450000000000003</v>
      </c>
    </row>
    <row r="859" spans="1:2" x14ac:dyDescent="0.35">
      <c r="A859" s="85">
        <v>44322</v>
      </c>
      <c r="B859">
        <v>7.5324999999999998</v>
      </c>
    </row>
    <row r="860" spans="1:2" x14ac:dyDescent="0.35">
      <c r="A860" s="85">
        <v>44323</v>
      </c>
      <c r="B860">
        <v>7.6174999999999997</v>
      </c>
    </row>
    <row r="861" spans="1:2" x14ac:dyDescent="0.35">
      <c r="A861" s="85">
        <v>44326</v>
      </c>
      <c r="B861">
        <v>7.3049999999999997</v>
      </c>
    </row>
    <row r="862" spans="1:2" x14ac:dyDescent="0.35">
      <c r="A862" s="85">
        <v>44327</v>
      </c>
      <c r="B862">
        <v>7.4175000000000004</v>
      </c>
    </row>
    <row r="863" spans="1:2" x14ac:dyDescent="0.35">
      <c r="A863" s="85">
        <v>44328</v>
      </c>
      <c r="B863">
        <v>7.2975000000000003</v>
      </c>
    </row>
    <row r="864" spans="1:2" x14ac:dyDescent="0.35">
      <c r="A864" s="85">
        <v>44329</v>
      </c>
      <c r="B864">
        <v>7.0149999999999997</v>
      </c>
    </row>
    <row r="865" spans="1:2" x14ac:dyDescent="0.35">
      <c r="A865" s="85">
        <v>44330</v>
      </c>
      <c r="B865">
        <v>7.0724999999999998</v>
      </c>
    </row>
    <row r="866" spans="1:2" x14ac:dyDescent="0.35">
      <c r="A866" s="85">
        <v>44333</v>
      </c>
      <c r="B866">
        <v>6.9974999999999996</v>
      </c>
    </row>
    <row r="867" spans="1:2" x14ac:dyDescent="0.35">
      <c r="A867" s="85">
        <v>44334</v>
      </c>
      <c r="B867">
        <v>6.98</v>
      </c>
    </row>
    <row r="868" spans="1:2" x14ac:dyDescent="0.35">
      <c r="A868" s="85">
        <v>44335</v>
      </c>
      <c r="B868">
        <v>6.7925000000000004</v>
      </c>
    </row>
    <row r="869" spans="1:2" x14ac:dyDescent="0.35">
      <c r="A869" s="85">
        <v>44336</v>
      </c>
      <c r="B869">
        <v>6.7525000000000004</v>
      </c>
    </row>
    <row r="870" spans="1:2" x14ac:dyDescent="0.35">
      <c r="A870" s="85">
        <v>44337</v>
      </c>
      <c r="B870">
        <v>6.7424999999999997</v>
      </c>
    </row>
    <row r="871" spans="1:2" x14ac:dyDescent="0.35">
      <c r="A871" s="85">
        <v>44340</v>
      </c>
      <c r="B871">
        <v>6.6224999999999996</v>
      </c>
    </row>
    <row r="872" spans="1:2" x14ac:dyDescent="0.35">
      <c r="A872" s="85">
        <v>44341</v>
      </c>
      <c r="B872">
        <v>6.5650000000000004</v>
      </c>
    </row>
    <row r="873" spans="1:2" x14ac:dyDescent="0.35">
      <c r="A873" s="85">
        <v>44342</v>
      </c>
      <c r="B873">
        <v>6.4850000000000003</v>
      </c>
    </row>
    <row r="874" spans="1:2" x14ac:dyDescent="0.35">
      <c r="A874" s="85">
        <v>44343</v>
      </c>
      <c r="B874">
        <v>6.7625000000000002</v>
      </c>
    </row>
    <row r="875" spans="1:2" x14ac:dyDescent="0.35">
      <c r="A875" s="85">
        <v>44344</v>
      </c>
      <c r="B875">
        <v>6.6349999999999998</v>
      </c>
    </row>
    <row r="876" spans="1:2" x14ac:dyDescent="0.35">
      <c r="A876" s="85">
        <v>44348</v>
      </c>
      <c r="B876">
        <v>6.9349999999999996</v>
      </c>
    </row>
    <row r="877" spans="1:2" x14ac:dyDescent="0.35">
      <c r="A877" s="85">
        <v>44349</v>
      </c>
      <c r="B877">
        <v>6.875</v>
      </c>
    </row>
    <row r="878" spans="1:2" x14ac:dyDescent="0.35">
      <c r="A878" s="85">
        <v>44350</v>
      </c>
      <c r="B878">
        <v>6.7625000000000002</v>
      </c>
    </row>
    <row r="879" spans="1:2" x14ac:dyDescent="0.35">
      <c r="A879" s="85">
        <v>44351</v>
      </c>
      <c r="B879">
        <v>6.8775000000000004</v>
      </c>
    </row>
    <row r="880" spans="1:2" x14ac:dyDescent="0.35">
      <c r="A880" s="85">
        <v>44354</v>
      </c>
      <c r="B880">
        <v>6.8</v>
      </c>
    </row>
    <row r="881" spans="1:2" x14ac:dyDescent="0.35">
      <c r="A881" s="85">
        <v>44355</v>
      </c>
      <c r="B881">
        <v>6.85</v>
      </c>
    </row>
    <row r="882" spans="1:2" x14ac:dyDescent="0.35">
      <c r="A882" s="85">
        <v>44356</v>
      </c>
      <c r="B882">
        <v>6.8224999999999998</v>
      </c>
    </row>
    <row r="883" spans="1:2" x14ac:dyDescent="0.35">
      <c r="A883" s="85">
        <v>44357</v>
      </c>
      <c r="B883">
        <v>6.8375000000000004</v>
      </c>
    </row>
    <row r="884" spans="1:2" x14ac:dyDescent="0.35">
      <c r="A884" s="85">
        <v>44358</v>
      </c>
      <c r="B884">
        <v>6.8075000000000001</v>
      </c>
    </row>
    <row r="885" spans="1:2" x14ac:dyDescent="0.35">
      <c r="A885" s="85">
        <v>44361</v>
      </c>
      <c r="B885">
        <v>6.7450000000000001</v>
      </c>
    </row>
    <row r="886" spans="1:2" x14ac:dyDescent="0.35">
      <c r="A886" s="85">
        <v>44362</v>
      </c>
      <c r="B886">
        <v>6.6150000000000002</v>
      </c>
    </row>
    <row r="887" spans="1:2" x14ac:dyDescent="0.35">
      <c r="A887" s="85">
        <v>44363</v>
      </c>
      <c r="B887">
        <v>6.6275000000000004</v>
      </c>
    </row>
    <row r="888" spans="1:2" x14ac:dyDescent="0.35">
      <c r="A888" s="85">
        <v>44364</v>
      </c>
      <c r="B888">
        <v>6.39</v>
      </c>
    </row>
    <row r="889" spans="1:2" x14ac:dyDescent="0.35">
      <c r="A889" s="85">
        <v>44365</v>
      </c>
      <c r="B889">
        <v>6.6275000000000004</v>
      </c>
    </row>
    <row r="890" spans="1:2" x14ac:dyDescent="0.35">
      <c r="A890" s="85">
        <v>44368</v>
      </c>
      <c r="B890">
        <v>6.6150000000000002</v>
      </c>
    </row>
    <row r="891" spans="1:2" x14ac:dyDescent="0.35">
      <c r="A891" s="85">
        <v>44369</v>
      </c>
      <c r="B891">
        <v>6.51</v>
      </c>
    </row>
    <row r="892" spans="1:2" x14ac:dyDescent="0.35">
      <c r="A892" s="85">
        <v>44370</v>
      </c>
      <c r="B892">
        <v>6.6124999999999998</v>
      </c>
    </row>
    <row r="893" spans="1:2" x14ac:dyDescent="0.35">
      <c r="A893" s="85">
        <v>44371</v>
      </c>
      <c r="B893">
        <v>6.5125000000000002</v>
      </c>
    </row>
    <row r="894" spans="1:2" x14ac:dyDescent="0.35">
      <c r="A894" s="85">
        <v>44372</v>
      </c>
      <c r="B894">
        <v>6.3775000000000004</v>
      </c>
    </row>
    <row r="895" spans="1:2" x14ac:dyDescent="0.35">
      <c r="A895" s="85">
        <v>44375</v>
      </c>
      <c r="B895">
        <v>6.4820000000000002</v>
      </c>
    </row>
    <row r="896" spans="1:2" x14ac:dyDescent="0.35">
      <c r="A896" s="85">
        <v>44376</v>
      </c>
      <c r="B896">
        <v>6.4364999999999997</v>
      </c>
    </row>
    <row r="897" spans="1:2" x14ac:dyDescent="0.35">
      <c r="A897" s="85">
        <v>44377</v>
      </c>
      <c r="B897">
        <v>6.7789999999999999</v>
      </c>
    </row>
    <row r="898" spans="1:2" x14ac:dyDescent="0.35">
      <c r="A898" s="85">
        <v>44378</v>
      </c>
      <c r="B898">
        <v>6.6550000000000002</v>
      </c>
    </row>
    <row r="899" spans="1:2" x14ac:dyDescent="0.35">
      <c r="A899" s="85">
        <v>44379</v>
      </c>
      <c r="B899">
        <v>6.5274999999999999</v>
      </c>
    </row>
    <row r="900" spans="1:2" x14ac:dyDescent="0.35">
      <c r="A900" s="85">
        <v>44383</v>
      </c>
      <c r="B900">
        <v>6.26</v>
      </c>
    </row>
    <row r="901" spans="1:2" x14ac:dyDescent="0.35">
      <c r="A901" s="85">
        <v>44384</v>
      </c>
      <c r="B901">
        <v>6.2225000000000001</v>
      </c>
    </row>
    <row r="902" spans="1:2" x14ac:dyDescent="0.35">
      <c r="A902" s="85">
        <v>44385</v>
      </c>
      <c r="B902">
        <v>6.18</v>
      </c>
    </row>
    <row r="903" spans="1:2" x14ac:dyDescent="0.35">
      <c r="A903" s="85">
        <v>44386</v>
      </c>
      <c r="B903">
        <v>6.15</v>
      </c>
    </row>
    <row r="904" spans="1:2" x14ac:dyDescent="0.35">
      <c r="A904" s="85">
        <v>44389</v>
      </c>
      <c r="B904">
        <v>6.4074999999999998</v>
      </c>
    </row>
    <row r="905" spans="1:2" x14ac:dyDescent="0.35">
      <c r="A905" s="85">
        <v>44390</v>
      </c>
      <c r="B905">
        <v>6.3375000000000004</v>
      </c>
    </row>
    <row r="906" spans="1:2" x14ac:dyDescent="0.35">
      <c r="A906" s="85">
        <v>44391</v>
      </c>
      <c r="B906">
        <v>6.5425000000000004</v>
      </c>
    </row>
    <row r="907" spans="1:2" x14ac:dyDescent="0.35">
      <c r="A907" s="85">
        <v>44392</v>
      </c>
      <c r="B907">
        <v>6.72</v>
      </c>
    </row>
    <row r="908" spans="1:2" x14ac:dyDescent="0.35">
      <c r="A908" s="85">
        <v>44393</v>
      </c>
      <c r="B908">
        <v>6.9249999999999998</v>
      </c>
    </row>
    <row r="909" spans="1:2" x14ac:dyDescent="0.35">
      <c r="A909" s="85">
        <v>44396</v>
      </c>
      <c r="B909">
        <v>6.9775</v>
      </c>
    </row>
    <row r="910" spans="1:2" x14ac:dyDescent="0.35">
      <c r="A910" s="85">
        <v>44397</v>
      </c>
      <c r="B910">
        <v>7.0049999999999999</v>
      </c>
    </row>
    <row r="911" spans="1:2" x14ac:dyDescent="0.35">
      <c r="A911" s="85">
        <v>44398</v>
      </c>
      <c r="B911">
        <v>7.1074999999999999</v>
      </c>
    </row>
    <row r="912" spans="1:2" x14ac:dyDescent="0.35">
      <c r="A912" s="85">
        <v>44399</v>
      </c>
      <c r="B912">
        <v>6.9225000000000003</v>
      </c>
    </row>
    <row r="913" spans="1:2" x14ac:dyDescent="0.35">
      <c r="A913" s="85">
        <v>44400</v>
      </c>
      <c r="B913">
        <v>6.84</v>
      </c>
    </row>
    <row r="914" spans="1:2" x14ac:dyDescent="0.35">
      <c r="A914" s="85">
        <v>44403</v>
      </c>
      <c r="B914">
        <v>6.77</v>
      </c>
    </row>
    <row r="915" spans="1:2" x14ac:dyDescent="0.35">
      <c r="A915" s="85">
        <v>44404</v>
      </c>
      <c r="B915">
        <v>6.7450000000000001</v>
      </c>
    </row>
    <row r="916" spans="1:2" x14ac:dyDescent="0.35">
      <c r="A916" s="85">
        <v>44405</v>
      </c>
      <c r="B916">
        <v>6.8875000000000002</v>
      </c>
    </row>
    <row r="917" spans="1:2" x14ac:dyDescent="0.35">
      <c r="A917" s="85">
        <v>44406</v>
      </c>
      <c r="B917">
        <v>7.0525000000000002</v>
      </c>
    </row>
    <row r="918" spans="1:2" x14ac:dyDescent="0.35">
      <c r="A918" s="85">
        <v>44407</v>
      </c>
      <c r="B918">
        <v>7.0374999999999996</v>
      </c>
    </row>
    <row r="919" spans="1:2" x14ac:dyDescent="0.35">
      <c r="A919" s="85">
        <v>44410</v>
      </c>
      <c r="B919">
        <v>7.2949999999999999</v>
      </c>
    </row>
    <row r="920" spans="1:2" x14ac:dyDescent="0.35">
      <c r="A920" s="85">
        <v>44411</v>
      </c>
      <c r="B920">
        <v>7.2450000000000001</v>
      </c>
    </row>
    <row r="921" spans="1:2" x14ac:dyDescent="0.35">
      <c r="A921" s="85">
        <v>44412</v>
      </c>
      <c r="B921">
        <v>7.1725000000000003</v>
      </c>
    </row>
    <row r="922" spans="1:2" x14ac:dyDescent="0.35">
      <c r="A922" s="85">
        <v>44413</v>
      </c>
      <c r="B922">
        <v>7.1275000000000004</v>
      </c>
    </row>
    <row r="923" spans="1:2" x14ac:dyDescent="0.35">
      <c r="A923" s="85">
        <v>44414</v>
      </c>
      <c r="B923">
        <v>7.19</v>
      </c>
    </row>
    <row r="924" spans="1:2" x14ac:dyDescent="0.35">
      <c r="A924" s="85">
        <v>44417</v>
      </c>
      <c r="B924">
        <v>7.1124999999999998</v>
      </c>
    </row>
    <row r="925" spans="1:2" x14ac:dyDescent="0.35">
      <c r="A925" s="85">
        <v>44418</v>
      </c>
      <c r="B925">
        <v>7.27</v>
      </c>
    </row>
    <row r="926" spans="1:2" x14ac:dyDescent="0.35">
      <c r="A926" s="85">
        <v>44419</v>
      </c>
      <c r="B926">
        <v>7.27</v>
      </c>
    </row>
    <row r="927" spans="1:2" x14ac:dyDescent="0.35">
      <c r="A927" s="85">
        <v>44420</v>
      </c>
      <c r="B927">
        <v>7.5350000000000001</v>
      </c>
    </row>
    <row r="928" spans="1:2" x14ac:dyDescent="0.35">
      <c r="A928" s="85">
        <v>44421</v>
      </c>
      <c r="B928">
        <v>7.6224999999999996</v>
      </c>
    </row>
    <row r="929" spans="1:2" x14ac:dyDescent="0.35">
      <c r="A929" s="85">
        <v>44424</v>
      </c>
      <c r="B929">
        <v>7.6050000000000004</v>
      </c>
    </row>
    <row r="930" spans="1:2" x14ac:dyDescent="0.35">
      <c r="A930" s="85">
        <v>44425</v>
      </c>
      <c r="B930">
        <v>7.3449999999999998</v>
      </c>
    </row>
    <row r="931" spans="1:2" x14ac:dyDescent="0.35">
      <c r="A931" s="85">
        <v>44426</v>
      </c>
      <c r="B931">
        <v>7.3724999999999996</v>
      </c>
    </row>
    <row r="932" spans="1:2" x14ac:dyDescent="0.35">
      <c r="A932" s="85">
        <v>44427</v>
      </c>
      <c r="B932">
        <v>7.2750000000000004</v>
      </c>
    </row>
    <row r="933" spans="1:2" x14ac:dyDescent="0.35">
      <c r="A933" s="85">
        <v>44428</v>
      </c>
      <c r="B933">
        <v>7.1425000000000001</v>
      </c>
    </row>
    <row r="934" spans="1:2" x14ac:dyDescent="0.35">
      <c r="A934" s="85">
        <v>44431</v>
      </c>
      <c r="B934">
        <v>7.1974999999999998</v>
      </c>
    </row>
    <row r="935" spans="1:2" x14ac:dyDescent="0.35">
      <c r="A935" s="85">
        <v>44432</v>
      </c>
      <c r="B935">
        <v>7.18</v>
      </c>
    </row>
    <row r="936" spans="1:2" x14ac:dyDescent="0.35">
      <c r="A936" s="85">
        <v>44433</v>
      </c>
      <c r="B936">
        <v>7.1124999999999998</v>
      </c>
    </row>
    <row r="937" spans="1:2" x14ac:dyDescent="0.35">
      <c r="A937" s="85">
        <v>44434</v>
      </c>
      <c r="B937">
        <v>7.2805</v>
      </c>
    </row>
    <row r="938" spans="1:2" x14ac:dyDescent="0.35">
      <c r="A938" s="85">
        <v>44435</v>
      </c>
      <c r="B938">
        <v>7.2409999999999997</v>
      </c>
    </row>
    <row r="939" spans="1:2" x14ac:dyDescent="0.35">
      <c r="A939" s="85">
        <v>44438</v>
      </c>
      <c r="B939">
        <v>7.1760000000000002</v>
      </c>
    </row>
    <row r="940" spans="1:2" x14ac:dyDescent="0.35">
      <c r="A940" s="85">
        <v>44439</v>
      </c>
      <c r="B940">
        <v>7.1914999999999996</v>
      </c>
    </row>
    <row r="941" spans="1:2" x14ac:dyDescent="0.35">
      <c r="A941" s="85">
        <v>44440</v>
      </c>
      <c r="B941">
        <v>7.1425000000000001</v>
      </c>
    </row>
    <row r="942" spans="1:2" x14ac:dyDescent="0.35">
      <c r="A942" s="85">
        <v>44441</v>
      </c>
      <c r="B942">
        <v>7.17</v>
      </c>
    </row>
    <row r="943" spans="1:2" x14ac:dyDescent="0.35">
      <c r="A943" s="85">
        <v>44442</v>
      </c>
      <c r="B943">
        <v>7.2625000000000002</v>
      </c>
    </row>
    <row r="944" spans="1:2" x14ac:dyDescent="0.35">
      <c r="A944" s="85">
        <v>44445</v>
      </c>
      <c r="B944">
        <v>7.2625000000000002</v>
      </c>
    </row>
    <row r="945" spans="1:2" x14ac:dyDescent="0.35">
      <c r="A945" s="85">
        <v>44446</v>
      </c>
      <c r="B945">
        <v>7.1974999999999998</v>
      </c>
    </row>
    <row r="946" spans="1:2" x14ac:dyDescent="0.35">
      <c r="A946" s="85">
        <v>44447</v>
      </c>
      <c r="B946">
        <v>7.0949999999999998</v>
      </c>
    </row>
    <row r="947" spans="1:2" x14ac:dyDescent="0.35">
      <c r="A947" s="85">
        <v>44448</v>
      </c>
      <c r="B947">
        <v>6.9225000000000003</v>
      </c>
    </row>
    <row r="948" spans="1:2" x14ac:dyDescent="0.35">
      <c r="A948" s="85">
        <v>44449</v>
      </c>
      <c r="B948">
        <v>6.8849999999999998</v>
      </c>
    </row>
    <row r="949" spans="1:2" x14ac:dyDescent="0.35">
      <c r="A949" s="85">
        <v>44452</v>
      </c>
      <c r="B949">
        <v>6.87</v>
      </c>
    </row>
    <row r="950" spans="1:2" x14ac:dyDescent="0.35">
      <c r="A950" s="85">
        <v>44453</v>
      </c>
      <c r="B950">
        <v>7.0075000000000003</v>
      </c>
    </row>
    <row r="951" spans="1:2" x14ac:dyDescent="0.35">
      <c r="A951" s="85">
        <v>44454</v>
      </c>
      <c r="B951">
        <v>7.1224999999999996</v>
      </c>
    </row>
    <row r="952" spans="1:2" x14ac:dyDescent="0.35">
      <c r="A952" s="85">
        <v>44455</v>
      </c>
      <c r="B952">
        <v>7.13</v>
      </c>
    </row>
    <row r="953" spans="1:2" x14ac:dyDescent="0.35">
      <c r="A953" s="85">
        <v>44456</v>
      </c>
      <c r="B953">
        <v>7.0875000000000004</v>
      </c>
    </row>
    <row r="954" spans="1:2" x14ac:dyDescent="0.35">
      <c r="A954" s="85">
        <v>44459</v>
      </c>
      <c r="B954">
        <v>7.0075000000000003</v>
      </c>
    </row>
    <row r="955" spans="1:2" x14ac:dyDescent="0.35">
      <c r="A955" s="85">
        <v>44460</v>
      </c>
      <c r="B955">
        <v>6.9024999999999999</v>
      </c>
    </row>
    <row r="956" spans="1:2" x14ac:dyDescent="0.35">
      <c r="A956" s="85">
        <v>44461</v>
      </c>
      <c r="B956">
        <v>7.0575000000000001</v>
      </c>
    </row>
    <row r="957" spans="1:2" x14ac:dyDescent="0.35">
      <c r="A957" s="85">
        <v>44462</v>
      </c>
      <c r="B957">
        <v>7.1775000000000002</v>
      </c>
    </row>
    <row r="958" spans="1:2" x14ac:dyDescent="0.35">
      <c r="A958" s="85">
        <v>44463</v>
      </c>
      <c r="B958">
        <v>7.2374999999999998</v>
      </c>
    </row>
    <row r="959" spans="1:2" x14ac:dyDescent="0.35">
      <c r="A959" s="85">
        <v>44466</v>
      </c>
      <c r="B959">
        <v>7.2225000000000001</v>
      </c>
    </row>
    <row r="960" spans="1:2" x14ac:dyDescent="0.35">
      <c r="A960" s="85">
        <v>44467</v>
      </c>
      <c r="B960">
        <v>7.0650000000000004</v>
      </c>
    </row>
    <row r="961" spans="1:2" x14ac:dyDescent="0.35">
      <c r="A961" s="85">
        <v>44468</v>
      </c>
      <c r="B961">
        <v>7.1025</v>
      </c>
    </row>
    <row r="962" spans="1:2" x14ac:dyDescent="0.35">
      <c r="A962" s="85">
        <v>44469</v>
      </c>
      <c r="B962">
        <v>7.2549999999999999</v>
      </c>
    </row>
    <row r="963" spans="1:2" x14ac:dyDescent="0.35">
      <c r="A963" s="85">
        <v>44470</v>
      </c>
      <c r="B963">
        <v>7.5525000000000002</v>
      </c>
    </row>
    <row r="964" spans="1:2" x14ac:dyDescent="0.35">
      <c r="A964" s="85">
        <v>44473</v>
      </c>
      <c r="B964">
        <v>7.5650000000000004</v>
      </c>
    </row>
    <row r="965" spans="1:2" x14ac:dyDescent="0.35">
      <c r="A965" s="85">
        <v>44474</v>
      </c>
      <c r="B965">
        <v>7.4474999999999998</v>
      </c>
    </row>
    <row r="966" spans="1:2" x14ac:dyDescent="0.35">
      <c r="A966" s="85">
        <v>44475</v>
      </c>
      <c r="B966">
        <v>7.46</v>
      </c>
    </row>
    <row r="967" spans="1:2" x14ac:dyDescent="0.35">
      <c r="A967" s="85">
        <v>44476</v>
      </c>
      <c r="B967">
        <v>7.4124999999999996</v>
      </c>
    </row>
    <row r="968" spans="1:2" x14ac:dyDescent="0.35">
      <c r="A968" s="85">
        <v>44477</v>
      </c>
      <c r="B968">
        <v>7.34</v>
      </c>
    </row>
    <row r="969" spans="1:2" x14ac:dyDescent="0.35">
      <c r="A969" s="85">
        <v>44480</v>
      </c>
      <c r="B969">
        <v>7.3174999999999999</v>
      </c>
    </row>
    <row r="970" spans="1:2" x14ac:dyDescent="0.35">
      <c r="A970" s="85">
        <v>44481</v>
      </c>
      <c r="B970">
        <v>7.34</v>
      </c>
    </row>
    <row r="971" spans="1:2" x14ac:dyDescent="0.35">
      <c r="A971" s="85">
        <v>44482</v>
      </c>
      <c r="B971">
        <v>7.1875</v>
      </c>
    </row>
    <row r="972" spans="1:2" x14ac:dyDescent="0.35">
      <c r="A972" s="85">
        <v>44483</v>
      </c>
      <c r="B972">
        <v>7.2474999999999996</v>
      </c>
    </row>
    <row r="973" spans="1:2" x14ac:dyDescent="0.35">
      <c r="A973" s="85">
        <v>44484</v>
      </c>
      <c r="B973">
        <v>7.34</v>
      </c>
    </row>
    <row r="974" spans="1:2" x14ac:dyDescent="0.35">
      <c r="A974" s="85">
        <v>44487</v>
      </c>
      <c r="B974">
        <v>7.3624999999999998</v>
      </c>
    </row>
    <row r="975" spans="1:2" x14ac:dyDescent="0.35">
      <c r="A975" s="85">
        <v>44488</v>
      </c>
      <c r="B975">
        <v>7.36</v>
      </c>
    </row>
    <row r="976" spans="1:2" x14ac:dyDescent="0.35">
      <c r="A976" s="85">
        <v>44489</v>
      </c>
      <c r="B976">
        <v>7.4924999999999997</v>
      </c>
    </row>
    <row r="977" spans="1:2" x14ac:dyDescent="0.35">
      <c r="A977" s="85">
        <v>44490</v>
      </c>
      <c r="B977">
        <v>7.4124999999999996</v>
      </c>
    </row>
    <row r="978" spans="1:2" x14ac:dyDescent="0.35">
      <c r="A978" s="85">
        <v>44491</v>
      </c>
      <c r="B978">
        <v>7.56</v>
      </c>
    </row>
    <row r="979" spans="1:2" x14ac:dyDescent="0.35">
      <c r="A979" s="85">
        <v>44494</v>
      </c>
      <c r="B979">
        <v>7.5949999999999998</v>
      </c>
    </row>
    <row r="980" spans="1:2" x14ac:dyDescent="0.35">
      <c r="A980" s="85">
        <v>44495</v>
      </c>
      <c r="B980">
        <v>7.5225</v>
      </c>
    </row>
    <row r="981" spans="1:2" x14ac:dyDescent="0.35">
      <c r="A981" s="85">
        <v>44496</v>
      </c>
      <c r="B981">
        <v>7.5975000000000001</v>
      </c>
    </row>
    <row r="982" spans="1:2" x14ac:dyDescent="0.35">
      <c r="A982" s="85">
        <v>44497</v>
      </c>
      <c r="B982">
        <v>7.7249999999999996</v>
      </c>
    </row>
    <row r="983" spans="1:2" x14ac:dyDescent="0.35">
      <c r="A983" s="85">
        <v>44498</v>
      </c>
      <c r="B983">
        <v>7.7275</v>
      </c>
    </row>
    <row r="984" spans="1:2" x14ac:dyDescent="0.35">
      <c r="A984" s="85">
        <v>44501</v>
      </c>
      <c r="B984">
        <v>7.9725000000000001</v>
      </c>
    </row>
    <row r="985" spans="1:2" x14ac:dyDescent="0.35">
      <c r="A985" s="85">
        <v>44502</v>
      </c>
      <c r="B985">
        <v>7.915</v>
      </c>
    </row>
    <row r="986" spans="1:2" x14ac:dyDescent="0.35">
      <c r="A986" s="85">
        <v>44503</v>
      </c>
      <c r="B986">
        <v>7.81</v>
      </c>
    </row>
    <row r="987" spans="1:2" x14ac:dyDescent="0.35">
      <c r="A987" s="85">
        <v>44504</v>
      </c>
      <c r="B987">
        <v>7.7374999999999998</v>
      </c>
    </row>
    <row r="988" spans="1:2" x14ac:dyDescent="0.35">
      <c r="A988" s="85">
        <v>44505</v>
      </c>
      <c r="B988">
        <v>7.665</v>
      </c>
    </row>
    <row r="989" spans="1:2" x14ac:dyDescent="0.35">
      <c r="A989" s="85">
        <v>44508</v>
      </c>
      <c r="B989">
        <v>7.68</v>
      </c>
    </row>
    <row r="990" spans="1:2" x14ac:dyDescent="0.35">
      <c r="A990" s="85">
        <v>44509</v>
      </c>
      <c r="B990">
        <v>7.7850000000000001</v>
      </c>
    </row>
    <row r="991" spans="1:2" x14ac:dyDescent="0.35">
      <c r="A991" s="85">
        <v>44510</v>
      </c>
      <c r="B991">
        <v>8.0299999999999994</v>
      </c>
    </row>
    <row r="992" spans="1:2" x14ac:dyDescent="0.35">
      <c r="A992" s="85">
        <v>44511</v>
      </c>
      <c r="B992">
        <v>8.125</v>
      </c>
    </row>
    <row r="993" spans="1:2" x14ac:dyDescent="0.35">
      <c r="A993" s="85">
        <v>44512</v>
      </c>
      <c r="B993">
        <v>8.17</v>
      </c>
    </row>
    <row r="994" spans="1:2" x14ac:dyDescent="0.35">
      <c r="A994" s="85">
        <v>44515</v>
      </c>
      <c r="B994">
        <v>8.2624999999999993</v>
      </c>
    </row>
    <row r="995" spans="1:2" x14ac:dyDescent="0.35">
      <c r="A995" s="85">
        <v>44516</v>
      </c>
      <c r="B995">
        <v>8.1024999999999991</v>
      </c>
    </row>
    <row r="996" spans="1:2" x14ac:dyDescent="0.35">
      <c r="A996" s="85">
        <v>44517</v>
      </c>
      <c r="B996">
        <v>8.2225000000000001</v>
      </c>
    </row>
    <row r="997" spans="1:2" x14ac:dyDescent="0.35">
      <c r="A997" s="85">
        <v>44518</v>
      </c>
      <c r="B997">
        <v>8.1999999999999993</v>
      </c>
    </row>
    <row r="998" spans="1:2" x14ac:dyDescent="0.35">
      <c r="A998" s="85">
        <v>44519</v>
      </c>
      <c r="B998">
        <v>8.23</v>
      </c>
    </row>
    <row r="999" spans="1:2" x14ac:dyDescent="0.35">
      <c r="A999" s="85">
        <v>44522</v>
      </c>
      <c r="B999">
        <v>8.4574999999999996</v>
      </c>
    </row>
    <row r="1000" spans="1:2" x14ac:dyDescent="0.35">
      <c r="A1000" s="85">
        <v>44523</v>
      </c>
      <c r="B1000">
        <v>8.56</v>
      </c>
    </row>
    <row r="1001" spans="1:2" x14ac:dyDescent="0.35">
      <c r="A1001" s="85">
        <v>44524</v>
      </c>
      <c r="B1001">
        <v>8.3945000000000007</v>
      </c>
    </row>
    <row r="1002" spans="1:2" x14ac:dyDescent="0.35">
      <c r="A1002" s="85">
        <v>44526</v>
      </c>
      <c r="B1002">
        <v>8.3140000000000001</v>
      </c>
    </row>
    <row r="1003" spans="1:2" x14ac:dyDescent="0.35">
      <c r="A1003" s="85">
        <v>44529</v>
      </c>
      <c r="B1003">
        <v>8.1635000000000009</v>
      </c>
    </row>
    <row r="1004" spans="1:2" x14ac:dyDescent="0.35">
      <c r="A1004" s="85">
        <v>44530</v>
      </c>
      <c r="B1004">
        <v>7.8455000000000004</v>
      </c>
    </row>
    <row r="1005" spans="1:2" x14ac:dyDescent="0.35">
      <c r="A1005" s="85">
        <v>44531</v>
      </c>
      <c r="B1005">
        <v>7.9050000000000002</v>
      </c>
    </row>
    <row r="1006" spans="1:2" x14ac:dyDescent="0.35">
      <c r="A1006" s="85">
        <v>44532</v>
      </c>
      <c r="B1006">
        <v>8.15</v>
      </c>
    </row>
    <row r="1007" spans="1:2" x14ac:dyDescent="0.35">
      <c r="A1007" s="85">
        <v>44533</v>
      </c>
      <c r="B1007">
        <v>8.0374999999999996</v>
      </c>
    </row>
    <row r="1008" spans="1:2" x14ac:dyDescent="0.35">
      <c r="A1008" s="85">
        <v>44536</v>
      </c>
      <c r="B1008">
        <v>8.0625</v>
      </c>
    </row>
    <row r="1009" spans="1:2" x14ac:dyDescent="0.35">
      <c r="A1009" s="85">
        <v>44537</v>
      </c>
      <c r="B1009">
        <v>8.0850000000000009</v>
      </c>
    </row>
    <row r="1010" spans="1:2" x14ac:dyDescent="0.35">
      <c r="A1010" s="85">
        <v>44538</v>
      </c>
      <c r="B1010">
        <v>7.9450000000000003</v>
      </c>
    </row>
    <row r="1011" spans="1:2" x14ac:dyDescent="0.35">
      <c r="A1011" s="85">
        <v>44539</v>
      </c>
      <c r="B1011">
        <v>7.7675000000000001</v>
      </c>
    </row>
    <row r="1012" spans="1:2" x14ac:dyDescent="0.35">
      <c r="A1012" s="85">
        <v>44540</v>
      </c>
      <c r="B1012">
        <v>7.8525</v>
      </c>
    </row>
    <row r="1013" spans="1:2" x14ac:dyDescent="0.35">
      <c r="A1013" s="85">
        <v>44543</v>
      </c>
      <c r="B1013">
        <v>7.8875000000000002</v>
      </c>
    </row>
    <row r="1014" spans="1:2" x14ac:dyDescent="0.35">
      <c r="A1014" s="85">
        <v>44544</v>
      </c>
      <c r="B1014">
        <v>7.87</v>
      </c>
    </row>
    <row r="1015" spans="1:2" x14ac:dyDescent="0.35">
      <c r="A1015" s="85">
        <v>44545</v>
      </c>
      <c r="B1015">
        <v>7.56</v>
      </c>
    </row>
    <row r="1016" spans="1:2" x14ac:dyDescent="0.35">
      <c r="A1016" s="85">
        <v>44546</v>
      </c>
      <c r="B1016">
        <v>7.7050000000000001</v>
      </c>
    </row>
    <row r="1017" spans="1:2" x14ac:dyDescent="0.35">
      <c r="A1017" s="85">
        <v>44547</v>
      </c>
      <c r="B1017">
        <v>7.75</v>
      </c>
    </row>
    <row r="1018" spans="1:2" x14ac:dyDescent="0.35">
      <c r="A1018" s="85">
        <v>44550</v>
      </c>
      <c r="B1018">
        <v>7.7774999999999999</v>
      </c>
    </row>
    <row r="1019" spans="1:2" x14ac:dyDescent="0.35">
      <c r="A1019" s="85">
        <v>44551</v>
      </c>
      <c r="B1019">
        <v>7.99</v>
      </c>
    </row>
    <row r="1020" spans="1:2" x14ac:dyDescent="0.35">
      <c r="A1020" s="85">
        <v>44552</v>
      </c>
      <c r="B1020">
        <v>8.14</v>
      </c>
    </row>
    <row r="1021" spans="1:2" x14ac:dyDescent="0.35">
      <c r="A1021" s="85">
        <v>44553</v>
      </c>
      <c r="B1021">
        <v>8.1475000000000009</v>
      </c>
    </row>
    <row r="1022" spans="1:2" x14ac:dyDescent="0.35">
      <c r="A1022" s="85">
        <v>44554</v>
      </c>
      <c r="B1022">
        <v>8.1475000000000009</v>
      </c>
    </row>
    <row r="1023" spans="1:2" x14ac:dyDescent="0.35">
      <c r="A1023" s="85">
        <v>44556</v>
      </c>
      <c r="B1023">
        <v>8.1475000000000009</v>
      </c>
    </row>
    <row r="1024" spans="1:2" x14ac:dyDescent="0.35">
      <c r="A1024" s="85">
        <v>44557</v>
      </c>
      <c r="B1024">
        <v>8.0399999999999991</v>
      </c>
    </row>
    <row r="1025" spans="1:2" x14ac:dyDescent="0.35">
      <c r="A1025" s="85">
        <v>44558</v>
      </c>
      <c r="B1025">
        <v>7.835</v>
      </c>
    </row>
    <row r="1026" spans="1:2" x14ac:dyDescent="0.35">
      <c r="A1026" s="85">
        <v>44559</v>
      </c>
      <c r="B1026">
        <v>7.8775000000000004</v>
      </c>
    </row>
    <row r="1027" spans="1:2" x14ac:dyDescent="0.35">
      <c r="A1027" s="85">
        <v>44560</v>
      </c>
      <c r="B1027">
        <v>7.7975000000000003</v>
      </c>
    </row>
    <row r="1028" spans="1:2" x14ac:dyDescent="0.35">
      <c r="A1028" s="85">
        <v>44561</v>
      </c>
      <c r="B1028">
        <v>7.7074999999999996</v>
      </c>
    </row>
    <row r="1029" spans="1:2" x14ac:dyDescent="0.35">
      <c r="A1029" s="85">
        <v>44564</v>
      </c>
      <c r="B1029">
        <v>7.58</v>
      </c>
    </row>
    <row r="1030" spans="1:2" x14ac:dyDescent="0.35">
      <c r="A1030" s="85">
        <v>44565</v>
      </c>
      <c r="B1030">
        <v>7.7</v>
      </c>
    </row>
    <row r="1031" spans="1:2" x14ac:dyDescent="0.35">
      <c r="A1031" s="85">
        <v>44566</v>
      </c>
      <c r="B1031">
        <v>7.6074999999999999</v>
      </c>
    </row>
    <row r="1032" spans="1:2" x14ac:dyDescent="0.35">
      <c r="A1032" s="85">
        <v>44567</v>
      </c>
      <c r="B1032">
        <v>7.46</v>
      </c>
    </row>
    <row r="1033" spans="1:2" x14ac:dyDescent="0.35">
      <c r="A1033" s="85">
        <v>44568</v>
      </c>
      <c r="B1033">
        <v>7.585</v>
      </c>
    </row>
    <row r="1034" spans="1:2" x14ac:dyDescent="0.35">
      <c r="A1034" s="85">
        <v>44571</v>
      </c>
      <c r="B1034">
        <v>7.62</v>
      </c>
    </row>
    <row r="1035" spans="1:2" x14ac:dyDescent="0.35">
      <c r="A1035" s="85">
        <v>44572</v>
      </c>
      <c r="B1035">
        <v>7.7024999999999997</v>
      </c>
    </row>
    <row r="1036" spans="1:2" x14ac:dyDescent="0.35">
      <c r="A1036" s="85">
        <v>44573</v>
      </c>
      <c r="B1036">
        <v>7.5774999999999997</v>
      </c>
    </row>
    <row r="1037" spans="1:2" x14ac:dyDescent="0.35">
      <c r="A1037" s="85">
        <v>44574</v>
      </c>
      <c r="B1037">
        <v>7.4675000000000002</v>
      </c>
    </row>
    <row r="1038" spans="1:2" x14ac:dyDescent="0.35">
      <c r="A1038" s="85">
        <v>44575</v>
      </c>
      <c r="B1038">
        <v>7.415</v>
      </c>
    </row>
    <row r="1039" spans="1:2" x14ac:dyDescent="0.35">
      <c r="A1039" s="85">
        <v>44579</v>
      </c>
      <c r="B1039">
        <v>7.69</v>
      </c>
    </row>
    <row r="1040" spans="1:2" x14ac:dyDescent="0.35">
      <c r="A1040" s="85">
        <v>44580</v>
      </c>
      <c r="B1040">
        <v>7.9649999999999999</v>
      </c>
    </row>
    <row r="1041" spans="1:2" x14ac:dyDescent="0.35">
      <c r="A1041" s="85">
        <v>44581</v>
      </c>
      <c r="B1041">
        <v>7.9024999999999999</v>
      </c>
    </row>
    <row r="1042" spans="1:2" x14ac:dyDescent="0.35">
      <c r="A1042" s="85">
        <v>44582</v>
      </c>
      <c r="B1042">
        <v>7.8</v>
      </c>
    </row>
    <row r="1043" spans="1:2" x14ac:dyDescent="0.35">
      <c r="A1043" s="85">
        <v>44585</v>
      </c>
      <c r="B1043">
        <v>8.0050000000000008</v>
      </c>
    </row>
    <row r="1044" spans="1:2" x14ac:dyDescent="0.35">
      <c r="A1044" s="85">
        <v>44586</v>
      </c>
      <c r="B1044">
        <v>8.18</v>
      </c>
    </row>
    <row r="1045" spans="1:2" x14ac:dyDescent="0.35">
      <c r="A1045" s="85">
        <v>44587</v>
      </c>
      <c r="B1045">
        <v>7.95</v>
      </c>
    </row>
    <row r="1046" spans="1:2" x14ac:dyDescent="0.35">
      <c r="A1046" s="85">
        <v>44588</v>
      </c>
      <c r="B1046">
        <v>7.77</v>
      </c>
    </row>
    <row r="1047" spans="1:2" x14ac:dyDescent="0.35">
      <c r="A1047" s="85">
        <v>44589</v>
      </c>
      <c r="B1047">
        <v>7.8624999999999998</v>
      </c>
    </row>
    <row r="1048" spans="1:2" x14ac:dyDescent="0.35">
      <c r="A1048" s="85">
        <v>44592</v>
      </c>
      <c r="B1048">
        <v>7.6124999999999998</v>
      </c>
    </row>
    <row r="1049" spans="1:2" x14ac:dyDescent="0.35">
      <c r="A1049" s="85">
        <v>44593</v>
      </c>
      <c r="B1049">
        <v>7.69</v>
      </c>
    </row>
    <row r="1050" spans="1:2" x14ac:dyDescent="0.35">
      <c r="A1050" s="85">
        <v>44594</v>
      </c>
      <c r="B1050">
        <v>7.55</v>
      </c>
    </row>
    <row r="1051" spans="1:2" x14ac:dyDescent="0.35">
      <c r="A1051" s="85">
        <v>44595</v>
      </c>
      <c r="B1051">
        <v>7.5175000000000001</v>
      </c>
    </row>
    <row r="1052" spans="1:2" x14ac:dyDescent="0.35">
      <c r="A1052" s="85">
        <v>44596</v>
      </c>
      <c r="B1052">
        <v>7.6325000000000003</v>
      </c>
    </row>
    <row r="1053" spans="1:2" x14ac:dyDescent="0.35">
      <c r="A1053" s="85">
        <v>44599</v>
      </c>
      <c r="B1053">
        <v>7.6875</v>
      </c>
    </row>
    <row r="1054" spans="1:2" x14ac:dyDescent="0.35">
      <c r="A1054" s="85">
        <v>44600</v>
      </c>
      <c r="B1054">
        <v>7.7874999999999996</v>
      </c>
    </row>
    <row r="1055" spans="1:2" x14ac:dyDescent="0.35">
      <c r="A1055" s="85">
        <v>44601</v>
      </c>
      <c r="B1055">
        <v>7.85</v>
      </c>
    </row>
    <row r="1056" spans="1:2" x14ac:dyDescent="0.35">
      <c r="A1056" s="85">
        <v>44602</v>
      </c>
      <c r="B1056">
        <v>7.7149999999999999</v>
      </c>
    </row>
    <row r="1057" spans="1:2" x14ac:dyDescent="0.35">
      <c r="A1057" s="85">
        <v>44603</v>
      </c>
      <c r="B1057">
        <v>7.9775</v>
      </c>
    </row>
    <row r="1058" spans="1:2" x14ac:dyDescent="0.35">
      <c r="A1058" s="85">
        <v>44606</v>
      </c>
      <c r="B1058">
        <v>7.9924999999999997</v>
      </c>
    </row>
    <row r="1059" spans="1:2" x14ac:dyDescent="0.35">
      <c r="A1059" s="85">
        <v>44607</v>
      </c>
      <c r="B1059">
        <v>7.7975000000000003</v>
      </c>
    </row>
    <row r="1060" spans="1:2" x14ac:dyDescent="0.35">
      <c r="A1060" s="85">
        <v>44608</v>
      </c>
      <c r="B1060">
        <v>7.8049999999999997</v>
      </c>
    </row>
    <row r="1061" spans="1:2" x14ac:dyDescent="0.35">
      <c r="A1061" s="85">
        <v>44609</v>
      </c>
      <c r="B1061">
        <v>7.98</v>
      </c>
    </row>
    <row r="1062" spans="1:2" x14ac:dyDescent="0.35">
      <c r="A1062" s="85">
        <v>44610</v>
      </c>
      <c r="B1062">
        <v>7.97</v>
      </c>
    </row>
    <row r="1063" spans="1:2" x14ac:dyDescent="0.35">
      <c r="A1063" s="85">
        <v>44613</v>
      </c>
      <c r="B1063">
        <v>7.97</v>
      </c>
    </row>
    <row r="1064" spans="1:2" x14ac:dyDescent="0.35">
      <c r="A1064" s="85">
        <v>44614</v>
      </c>
      <c r="B1064">
        <v>8.4425000000000008</v>
      </c>
    </row>
    <row r="1065" spans="1:2" x14ac:dyDescent="0.35">
      <c r="A1065" s="85">
        <v>44615</v>
      </c>
      <c r="B1065">
        <v>8.7774999999999999</v>
      </c>
    </row>
    <row r="1066" spans="1:2" x14ac:dyDescent="0.35">
      <c r="A1066" s="85">
        <v>44616</v>
      </c>
      <c r="B1066">
        <v>9.2949999999999999</v>
      </c>
    </row>
    <row r="1067" spans="1:2" x14ac:dyDescent="0.35">
      <c r="A1067" s="85">
        <v>44617</v>
      </c>
      <c r="B1067">
        <v>8.5305</v>
      </c>
    </row>
    <row r="1068" spans="1:2" x14ac:dyDescent="0.35">
      <c r="A1068" s="85">
        <v>44620</v>
      </c>
      <c r="B1068">
        <v>9.3279999999999994</v>
      </c>
    </row>
    <row r="1069" spans="1:2" x14ac:dyDescent="0.35">
      <c r="A1069" s="85">
        <v>44621</v>
      </c>
      <c r="B1069">
        <v>9.84</v>
      </c>
    </row>
    <row r="1070" spans="1:2" x14ac:dyDescent="0.35">
      <c r="A1070" s="85">
        <v>44622</v>
      </c>
      <c r="B1070">
        <v>10.59</v>
      </c>
    </row>
    <row r="1071" spans="1:2" x14ac:dyDescent="0.35">
      <c r="A1071" s="85">
        <v>44623</v>
      </c>
      <c r="B1071">
        <v>11.34</v>
      </c>
    </row>
    <row r="1072" spans="1:2" x14ac:dyDescent="0.35">
      <c r="A1072" s="85">
        <v>44624</v>
      </c>
      <c r="B1072">
        <v>12.09</v>
      </c>
    </row>
    <row r="1073" spans="1:2" x14ac:dyDescent="0.35">
      <c r="A1073" s="85">
        <v>44627</v>
      </c>
      <c r="B1073">
        <v>12.94</v>
      </c>
    </row>
    <row r="1074" spans="1:2" x14ac:dyDescent="0.35">
      <c r="A1074" s="85">
        <v>44628</v>
      </c>
      <c r="B1074">
        <v>12.865</v>
      </c>
    </row>
    <row r="1075" spans="1:2" x14ac:dyDescent="0.35">
      <c r="A1075" s="85">
        <v>44629</v>
      </c>
      <c r="B1075">
        <v>12.015000000000001</v>
      </c>
    </row>
    <row r="1076" spans="1:2" x14ac:dyDescent="0.35">
      <c r="A1076" s="85">
        <v>44630</v>
      </c>
      <c r="B1076">
        <v>10.87</v>
      </c>
    </row>
    <row r="1077" spans="1:2" x14ac:dyDescent="0.35">
      <c r="A1077" s="85">
        <v>44631</v>
      </c>
      <c r="B1077">
        <v>11.065</v>
      </c>
    </row>
    <row r="1078" spans="1:2" x14ac:dyDescent="0.35">
      <c r="A1078" s="85">
        <v>44634</v>
      </c>
      <c r="B1078">
        <v>10.9625</v>
      </c>
    </row>
    <row r="1079" spans="1:2" x14ac:dyDescent="0.35">
      <c r="A1079" s="85">
        <v>44635</v>
      </c>
      <c r="B1079">
        <v>11.5425</v>
      </c>
    </row>
    <row r="1080" spans="1:2" x14ac:dyDescent="0.35">
      <c r="A1080" s="85">
        <v>44636</v>
      </c>
      <c r="B1080">
        <v>10.692500000000001</v>
      </c>
    </row>
    <row r="1081" spans="1:2" x14ac:dyDescent="0.35">
      <c r="A1081" s="85">
        <v>44637</v>
      </c>
      <c r="B1081">
        <v>10.98</v>
      </c>
    </row>
    <row r="1082" spans="1:2" x14ac:dyDescent="0.35">
      <c r="A1082" s="85">
        <v>44638</v>
      </c>
      <c r="B1082">
        <v>10.637499999999999</v>
      </c>
    </row>
    <row r="1083" spans="1:2" x14ac:dyDescent="0.35">
      <c r="A1083" s="85">
        <v>44641</v>
      </c>
      <c r="B1083">
        <v>11.192500000000001</v>
      </c>
    </row>
    <row r="1084" spans="1:2" x14ac:dyDescent="0.35">
      <c r="A1084" s="85">
        <v>44642</v>
      </c>
      <c r="B1084">
        <v>11.182499999999999</v>
      </c>
    </row>
    <row r="1085" spans="1:2" x14ac:dyDescent="0.35">
      <c r="A1085" s="85">
        <v>44643</v>
      </c>
      <c r="B1085">
        <v>11.057499999999999</v>
      </c>
    </row>
    <row r="1086" spans="1:2" x14ac:dyDescent="0.35">
      <c r="A1086" s="85">
        <v>44644</v>
      </c>
      <c r="B1086">
        <v>10.8575</v>
      </c>
    </row>
    <row r="1087" spans="1:2" x14ac:dyDescent="0.35">
      <c r="A1087" s="85">
        <v>44645</v>
      </c>
      <c r="B1087">
        <v>11.022500000000001</v>
      </c>
    </row>
    <row r="1088" spans="1:2" x14ac:dyDescent="0.35">
      <c r="A1088" s="85">
        <v>44648</v>
      </c>
      <c r="B1088">
        <v>10.57</v>
      </c>
    </row>
    <row r="1089" spans="1:2" x14ac:dyDescent="0.35">
      <c r="A1089" s="85">
        <v>44649</v>
      </c>
      <c r="B1089">
        <v>10.1425</v>
      </c>
    </row>
    <row r="1090" spans="1:2" x14ac:dyDescent="0.35">
      <c r="A1090" s="85">
        <v>44650</v>
      </c>
      <c r="B1090">
        <v>10.272500000000001</v>
      </c>
    </row>
    <row r="1091" spans="1:2" x14ac:dyDescent="0.35">
      <c r="A1091" s="85">
        <v>44651</v>
      </c>
      <c r="B1091">
        <v>10.06</v>
      </c>
    </row>
    <row r="1092" spans="1:2" x14ac:dyDescent="0.35">
      <c r="A1092" s="85">
        <v>44652</v>
      </c>
      <c r="B1092">
        <v>9.8450000000000006</v>
      </c>
    </row>
    <row r="1093" spans="1:2" x14ac:dyDescent="0.35">
      <c r="A1093" s="85">
        <v>44655</v>
      </c>
      <c r="B1093">
        <v>10.102499999999999</v>
      </c>
    </row>
    <row r="1094" spans="1:2" x14ac:dyDescent="0.35">
      <c r="A1094" s="85">
        <v>44656</v>
      </c>
      <c r="B1094">
        <v>10.452500000000001</v>
      </c>
    </row>
    <row r="1095" spans="1:2" x14ac:dyDescent="0.35">
      <c r="A1095" s="85">
        <v>44657</v>
      </c>
      <c r="B1095">
        <v>10.3825</v>
      </c>
    </row>
    <row r="1096" spans="1:2" x14ac:dyDescent="0.35">
      <c r="A1096" s="85">
        <v>44658</v>
      </c>
      <c r="B1096">
        <v>10.199999999999999</v>
      </c>
    </row>
    <row r="1097" spans="1:2" x14ac:dyDescent="0.35">
      <c r="A1097" s="85">
        <v>44659</v>
      </c>
      <c r="B1097">
        <v>10.515000000000001</v>
      </c>
    </row>
    <row r="1098" spans="1:2" x14ac:dyDescent="0.35">
      <c r="A1098" s="85">
        <v>44662</v>
      </c>
      <c r="B1098">
        <v>10.8125</v>
      </c>
    </row>
    <row r="1099" spans="1:2" x14ac:dyDescent="0.35">
      <c r="A1099" s="85">
        <v>44663</v>
      </c>
      <c r="B1099">
        <v>11.0375</v>
      </c>
    </row>
    <row r="1100" spans="1:2" x14ac:dyDescent="0.35">
      <c r="A1100" s="85">
        <v>44664</v>
      </c>
      <c r="B1100">
        <v>11.135</v>
      </c>
    </row>
    <row r="1101" spans="1:2" x14ac:dyDescent="0.35">
      <c r="A1101" s="85">
        <v>44665</v>
      </c>
      <c r="B1101">
        <v>10.965</v>
      </c>
    </row>
    <row r="1102" spans="1:2" x14ac:dyDescent="0.35">
      <c r="A1102" s="85">
        <v>44666</v>
      </c>
      <c r="B1102">
        <v>10.965</v>
      </c>
    </row>
    <row r="1103" spans="1:2" x14ac:dyDescent="0.35">
      <c r="A1103" s="85">
        <v>44669</v>
      </c>
      <c r="B1103">
        <v>11.205</v>
      </c>
    </row>
    <row r="1104" spans="1:2" x14ac:dyDescent="0.35">
      <c r="A1104" s="85">
        <v>44670</v>
      </c>
      <c r="B1104">
        <v>10.99</v>
      </c>
    </row>
    <row r="1105" spans="1:2" x14ac:dyDescent="0.35">
      <c r="A1105" s="85">
        <v>44671</v>
      </c>
      <c r="B1105">
        <v>10.88</v>
      </c>
    </row>
    <row r="1106" spans="1:2" x14ac:dyDescent="0.35">
      <c r="A1106" s="85">
        <v>44672</v>
      </c>
      <c r="B1106">
        <v>10.68</v>
      </c>
    </row>
    <row r="1107" spans="1:2" x14ac:dyDescent="0.35">
      <c r="A1107" s="85">
        <v>44673</v>
      </c>
      <c r="B1107">
        <v>10.654999999999999</v>
      </c>
    </row>
    <row r="1108" spans="1:2" x14ac:dyDescent="0.35">
      <c r="A1108" s="85">
        <v>44676</v>
      </c>
      <c r="B1108">
        <v>10.62</v>
      </c>
    </row>
    <row r="1109" spans="1:2" x14ac:dyDescent="0.35">
      <c r="A1109" s="85">
        <v>44677</v>
      </c>
      <c r="B1109">
        <v>10.856</v>
      </c>
    </row>
    <row r="1110" spans="1:2" x14ac:dyDescent="0.35">
      <c r="A1110" s="85">
        <v>44678</v>
      </c>
      <c r="B1110">
        <v>10.845000000000001</v>
      </c>
    </row>
    <row r="1111" spans="1:2" x14ac:dyDescent="0.35">
      <c r="A1111" s="85">
        <v>44679</v>
      </c>
      <c r="B1111">
        <v>10.810499999999999</v>
      </c>
    </row>
    <row r="1112" spans="1:2" x14ac:dyDescent="0.35">
      <c r="A1112" s="85">
        <v>44680</v>
      </c>
      <c r="B1112">
        <v>10.5335</v>
      </c>
    </row>
    <row r="1113" spans="1:2" x14ac:dyDescent="0.35">
      <c r="A1113" s="85">
        <v>44683</v>
      </c>
      <c r="B1113">
        <v>10.555</v>
      </c>
    </row>
    <row r="1114" spans="1:2" x14ac:dyDescent="0.35">
      <c r="A1114" s="85">
        <v>44684</v>
      </c>
      <c r="B1114">
        <v>10.455</v>
      </c>
    </row>
    <row r="1115" spans="1:2" x14ac:dyDescent="0.35">
      <c r="A1115" s="85">
        <v>44685</v>
      </c>
      <c r="B1115">
        <v>10.765000000000001</v>
      </c>
    </row>
    <row r="1116" spans="1:2" x14ac:dyDescent="0.35">
      <c r="A1116" s="85">
        <v>44686</v>
      </c>
      <c r="B1116">
        <v>11.065</v>
      </c>
    </row>
    <row r="1117" spans="1:2" x14ac:dyDescent="0.35">
      <c r="A1117" s="85">
        <v>44687</v>
      </c>
      <c r="B1117">
        <v>11.085000000000001</v>
      </c>
    </row>
    <row r="1118" spans="1:2" x14ac:dyDescent="0.35">
      <c r="A1118" s="85">
        <v>44690</v>
      </c>
      <c r="B1118">
        <v>10.9275</v>
      </c>
    </row>
    <row r="1119" spans="1:2" x14ac:dyDescent="0.35">
      <c r="A1119" s="85">
        <v>44691</v>
      </c>
      <c r="B1119">
        <v>10.9275</v>
      </c>
    </row>
    <row r="1120" spans="1:2" x14ac:dyDescent="0.35">
      <c r="A1120" s="85">
        <v>44692</v>
      </c>
      <c r="B1120">
        <v>11.13</v>
      </c>
    </row>
    <row r="1121" spans="1:2" x14ac:dyDescent="0.35">
      <c r="A1121" s="85">
        <v>44693</v>
      </c>
      <c r="B1121">
        <v>11.7875</v>
      </c>
    </row>
    <row r="1122" spans="1:2" x14ac:dyDescent="0.35">
      <c r="A1122" s="85">
        <v>44694</v>
      </c>
      <c r="B1122">
        <v>11.775</v>
      </c>
    </row>
    <row r="1123" spans="1:2" x14ac:dyDescent="0.35">
      <c r="A1123" s="85">
        <v>44697</v>
      </c>
      <c r="B1123">
        <v>12.475</v>
      </c>
    </row>
    <row r="1124" spans="1:2" x14ac:dyDescent="0.35">
      <c r="A1124" s="85">
        <v>44698</v>
      </c>
      <c r="B1124">
        <v>12.775</v>
      </c>
    </row>
    <row r="1125" spans="1:2" x14ac:dyDescent="0.35">
      <c r="A1125" s="85">
        <v>44699</v>
      </c>
      <c r="B1125">
        <v>12.307499999999999</v>
      </c>
    </row>
    <row r="1126" spans="1:2" x14ac:dyDescent="0.35">
      <c r="A1126" s="85">
        <v>44700</v>
      </c>
      <c r="B1126">
        <v>12.005000000000001</v>
      </c>
    </row>
    <row r="1127" spans="1:2" x14ac:dyDescent="0.35">
      <c r="A1127" s="85">
        <v>44701</v>
      </c>
      <c r="B1127">
        <v>11.6875</v>
      </c>
    </row>
    <row r="1128" spans="1:2" x14ac:dyDescent="0.35">
      <c r="A1128" s="85">
        <v>44704</v>
      </c>
      <c r="B1128">
        <v>11.9</v>
      </c>
    </row>
    <row r="1129" spans="1:2" x14ac:dyDescent="0.35">
      <c r="A1129" s="85">
        <v>44705</v>
      </c>
      <c r="B1129">
        <v>11.547499999999999</v>
      </c>
    </row>
    <row r="1130" spans="1:2" x14ac:dyDescent="0.35">
      <c r="A1130" s="85">
        <v>44706</v>
      </c>
      <c r="B1130">
        <v>11.4825</v>
      </c>
    </row>
    <row r="1131" spans="1:2" x14ac:dyDescent="0.35">
      <c r="A1131" s="85">
        <v>44707</v>
      </c>
      <c r="B1131">
        <v>11.432499999999999</v>
      </c>
    </row>
    <row r="1132" spans="1:2" x14ac:dyDescent="0.35">
      <c r="A1132" s="85">
        <v>44708</v>
      </c>
      <c r="B1132">
        <v>11.574999999999999</v>
      </c>
    </row>
    <row r="1133" spans="1:2" x14ac:dyDescent="0.35">
      <c r="A1133" s="85">
        <v>44712</v>
      </c>
      <c r="B1133">
        <v>10.875</v>
      </c>
    </row>
    <row r="1134" spans="1:2" x14ac:dyDescent="0.35">
      <c r="A1134" s="85">
        <v>44713</v>
      </c>
      <c r="B1134">
        <v>10.4125</v>
      </c>
    </row>
    <row r="1135" spans="1:2" x14ac:dyDescent="0.35">
      <c r="A1135" s="85">
        <v>44714</v>
      </c>
      <c r="B1135">
        <v>10.5825</v>
      </c>
    </row>
    <row r="1136" spans="1:2" x14ac:dyDescent="0.35">
      <c r="A1136" s="85">
        <v>44715</v>
      </c>
      <c r="B1136">
        <v>10.4</v>
      </c>
    </row>
    <row r="1137" spans="1:2" x14ac:dyDescent="0.35">
      <c r="A1137" s="85">
        <v>44718</v>
      </c>
      <c r="B1137">
        <v>10.93</v>
      </c>
    </row>
    <row r="1138" spans="1:2" x14ac:dyDescent="0.35">
      <c r="A1138" s="85">
        <v>44719</v>
      </c>
      <c r="B1138">
        <v>10.717499999999999</v>
      </c>
    </row>
    <row r="1139" spans="1:2" x14ac:dyDescent="0.35">
      <c r="A1139" s="85">
        <v>44720</v>
      </c>
      <c r="B1139">
        <v>10.7475</v>
      </c>
    </row>
    <row r="1140" spans="1:2" x14ac:dyDescent="0.35">
      <c r="A1140" s="85">
        <v>44721</v>
      </c>
      <c r="B1140">
        <v>10.7125</v>
      </c>
    </row>
    <row r="1141" spans="1:2" x14ac:dyDescent="0.35">
      <c r="A1141" s="85">
        <v>44722</v>
      </c>
      <c r="B1141">
        <v>10.7075</v>
      </c>
    </row>
    <row r="1142" spans="1:2" x14ac:dyDescent="0.35">
      <c r="A1142" s="85">
        <v>44725</v>
      </c>
      <c r="B1142">
        <v>10.71</v>
      </c>
    </row>
    <row r="1143" spans="1:2" x14ac:dyDescent="0.35">
      <c r="A1143" s="85">
        <v>44726</v>
      </c>
      <c r="B1143">
        <v>10.5025</v>
      </c>
    </row>
    <row r="1144" spans="1:2" x14ac:dyDescent="0.35">
      <c r="A1144" s="85">
        <v>44727</v>
      </c>
      <c r="B1144">
        <v>10.5</v>
      </c>
    </row>
    <row r="1145" spans="1:2" x14ac:dyDescent="0.35">
      <c r="A1145" s="85">
        <v>44728</v>
      </c>
      <c r="B1145">
        <v>10.782500000000001</v>
      </c>
    </row>
    <row r="1146" spans="1:2" x14ac:dyDescent="0.35">
      <c r="A1146" s="85">
        <v>44729</v>
      </c>
      <c r="B1146">
        <v>10.342499999999999</v>
      </c>
    </row>
    <row r="1147" spans="1:2" x14ac:dyDescent="0.35">
      <c r="A1147" s="85">
        <v>44732</v>
      </c>
      <c r="B1147">
        <v>10.342499999999999</v>
      </c>
    </row>
    <row r="1148" spans="1:2" x14ac:dyDescent="0.35">
      <c r="A1148" s="85">
        <v>44733</v>
      </c>
      <c r="B1148">
        <v>9.7524999999999995</v>
      </c>
    </row>
    <row r="1149" spans="1:2" x14ac:dyDescent="0.35">
      <c r="A1149" s="85">
        <v>44734</v>
      </c>
      <c r="B1149">
        <v>9.7650000000000006</v>
      </c>
    </row>
    <row r="1150" spans="1:2" x14ac:dyDescent="0.35">
      <c r="A1150" s="85">
        <v>44735</v>
      </c>
      <c r="B1150">
        <v>9.3725000000000005</v>
      </c>
    </row>
    <row r="1151" spans="1:2" x14ac:dyDescent="0.35">
      <c r="A1151" s="85">
        <v>44736</v>
      </c>
      <c r="B1151">
        <v>9.2375000000000007</v>
      </c>
    </row>
    <row r="1152" spans="1:2" x14ac:dyDescent="0.35">
      <c r="A1152" s="85">
        <v>44739</v>
      </c>
      <c r="B1152">
        <v>9.7563999999999993</v>
      </c>
    </row>
    <row r="1153" spans="1:2" x14ac:dyDescent="0.35">
      <c r="A1153" s="85">
        <v>44740</v>
      </c>
      <c r="B1153">
        <v>9.5219000000000005</v>
      </c>
    </row>
    <row r="1154" spans="1:2" x14ac:dyDescent="0.35">
      <c r="A1154" s="85">
        <v>44741</v>
      </c>
      <c r="B1154">
        <v>9.7307000000000006</v>
      </c>
    </row>
    <row r="1155" spans="1:2" x14ac:dyDescent="0.35">
      <c r="A1155" s="85">
        <v>44742</v>
      </c>
      <c r="B1155">
        <v>9.7615999999999996</v>
      </c>
    </row>
    <row r="1156" spans="1:2" x14ac:dyDescent="0.35">
      <c r="A1156" s="85">
        <v>44743</v>
      </c>
      <c r="B1156">
        <v>9.5469000000000008</v>
      </c>
    </row>
    <row r="1157" spans="1:2" x14ac:dyDescent="0.35">
      <c r="A1157" s="85">
        <v>44746</v>
      </c>
      <c r="B1157">
        <v>9.1431000000000004</v>
      </c>
    </row>
    <row r="1158" spans="1:2" x14ac:dyDescent="0.35">
      <c r="A1158" s="85">
        <v>44747</v>
      </c>
      <c r="B1158">
        <v>9.3547999999999991</v>
      </c>
    </row>
    <row r="1159" spans="1:2" x14ac:dyDescent="0.35">
      <c r="A1159" s="85">
        <v>44748</v>
      </c>
      <c r="B1159">
        <v>9.0106000000000002</v>
      </c>
    </row>
    <row r="1160" spans="1:2" x14ac:dyDescent="0.35">
      <c r="A1160" s="85">
        <v>44749</v>
      </c>
      <c r="B1160">
        <v>8.8773999999999997</v>
      </c>
    </row>
    <row r="1161" spans="1:2" x14ac:dyDescent="0.35">
      <c r="A1161" s="85">
        <v>44750</v>
      </c>
      <c r="B1161">
        <v>9.1968999999999994</v>
      </c>
    </row>
    <row r="1162" spans="1:2" x14ac:dyDescent="0.35">
      <c r="A1162" s="85">
        <v>44753</v>
      </c>
      <c r="B1162">
        <v>9.6925000000000008</v>
      </c>
    </row>
    <row r="1163" spans="1:2" x14ac:dyDescent="0.35">
      <c r="A1163" s="85">
        <v>44754</v>
      </c>
      <c r="B1163">
        <v>9.5749999999999993</v>
      </c>
    </row>
    <row r="1164" spans="1:2" x14ac:dyDescent="0.35">
      <c r="A1164" s="85">
        <v>44755</v>
      </c>
      <c r="B1164">
        <v>9.2833000000000006</v>
      </c>
    </row>
    <row r="1165" spans="1:2" x14ac:dyDescent="0.35">
      <c r="A1165" s="85">
        <v>44756</v>
      </c>
      <c r="B1165">
        <v>9.3650000000000002</v>
      </c>
    </row>
    <row r="1166" spans="1:2" x14ac:dyDescent="0.35">
      <c r="A1166" s="85">
        <v>44757</v>
      </c>
      <c r="B1166">
        <v>9.3514999999999997</v>
      </c>
    </row>
    <row r="1167" spans="1:2" x14ac:dyDescent="0.35">
      <c r="A1167" s="85">
        <v>44760</v>
      </c>
      <c r="B1167">
        <v>8.8879999999999999</v>
      </c>
    </row>
    <row r="1168" spans="1:2" x14ac:dyDescent="0.35">
      <c r="A1168" s="85">
        <v>44761</v>
      </c>
      <c r="B1168">
        <v>9.1783999999999999</v>
      </c>
    </row>
    <row r="1169" spans="1:2" x14ac:dyDescent="0.35">
      <c r="A1169" s="85">
        <v>44762</v>
      </c>
      <c r="B1169">
        <v>9.2329000000000008</v>
      </c>
    </row>
    <row r="1170" spans="1:2" x14ac:dyDescent="0.35">
      <c r="A1170" s="85">
        <v>44763</v>
      </c>
      <c r="B1170">
        <v>9.5458999999999996</v>
      </c>
    </row>
    <row r="1171" spans="1:2" x14ac:dyDescent="0.35">
      <c r="A1171" s="85">
        <v>44764</v>
      </c>
      <c r="B1171">
        <v>8.9335000000000004</v>
      </c>
    </row>
    <row r="1172" spans="1:2" x14ac:dyDescent="0.35">
      <c r="A1172" s="85">
        <v>44767</v>
      </c>
      <c r="B1172">
        <v>9.0152000000000001</v>
      </c>
    </row>
    <row r="1173" spans="1:2" x14ac:dyDescent="0.35">
      <c r="A1173" s="85">
        <v>44768</v>
      </c>
      <c r="B1173">
        <v>9.3484999999999996</v>
      </c>
    </row>
    <row r="1174" spans="1:2" x14ac:dyDescent="0.35">
      <c r="A1174" s="85">
        <v>44769</v>
      </c>
      <c r="B1174">
        <v>9.2532999999999994</v>
      </c>
    </row>
    <row r="1175" spans="1:2" x14ac:dyDescent="0.35">
      <c r="A1175" s="85">
        <v>44770</v>
      </c>
      <c r="B1175">
        <v>9.3145000000000007</v>
      </c>
    </row>
    <row r="1176" spans="1:2" x14ac:dyDescent="0.35">
      <c r="A1176" s="85">
        <v>44771</v>
      </c>
      <c r="B1176">
        <v>9.3757999999999999</v>
      </c>
    </row>
    <row r="1177" spans="1:2" x14ac:dyDescent="0.35">
      <c r="A1177" s="85">
        <v>44774</v>
      </c>
      <c r="B1177">
        <v>9.1579999999999995</v>
      </c>
    </row>
    <row r="1178" spans="1:2" x14ac:dyDescent="0.35">
      <c r="A1178" s="85">
        <v>44775</v>
      </c>
      <c r="B1178">
        <v>9.2193000000000005</v>
      </c>
    </row>
    <row r="1179" spans="1:2" x14ac:dyDescent="0.35">
      <c r="A1179" s="85">
        <v>44776</v>
      </c>
      <c r="B1179">
        <v>9.1647999999999996</v>
      </c>
    </row>
    <row r="1180" spans="1:2" x14ac:dyDescent="0.35">
      <c r="A1180" s="85">
        <v>44777</v>
      </c>
      <c r="B1180">
        <v>9.3009000000000004</v>
      </c>
    </row>
    <row r="1181" spans="1:2" x14ac:dyDescent="0.35">
      <c r="A1181" s="85">
        <v>44778</v>
      </c>
      <c r="B1181">
        <v>9.3077000000000005</v>
      </c>
    </row>
    <row r="1182" spans="1:2" x14ac:dyDescent="0.35">
      <c r="A1182" s="85">
        <v>44781</v>
      </c>
      <c r="B1182">
        <v>9.2668999999999997</v>
      </c>
    </row>
    <row r="1183" spans="1:2" x14ac:dyDescent="0.35">
      <c r="A1183" s="85">
        <v>44782</v>
      </c>
      <c r="B1183">
        <v>9.2600999999999996</v>
      </c>
    </row>
    <row r="1184" spans="1:2" x14ac:dyDescent="0.35">
      <c r="A1184" s="85">
        <v>44783</v>
      </c>
      <c r="B1184">
        <v>9.2396999999999991</v>
      </c>
    </row>
    <row r="1185" spans="1:2" x14ac:dyDescent="0.35">
      <c r="A1185" s="85">
        <v>44784</v>
      </c>
      <c r="B1185">
        <v>9.1647999999999996</v>
      </c>
    </row>
    <row r="1186" spans="1:2" x14ac:dyDescent="0.35">
      <c r="A1186" s="85">
        <v>44785</v>
      </c>
      <c r="B1186">
        <v>9.2532999999999994</v>
      </c>
    </row>
    <row r="1187" spans="1:2" x14ac:dyDescent="0.35">
      <c r="A1187" s="85">
        <v>44788</v>
      </c>
      <c r="B1187">
        <v>9.2464999999999993</v>
      </c>
    </row>
    <row r="1188" spans="1:2" x14ac:dyDescent="0.35">
      <c r="A1188" s="85">
        <v>44789</v>
      </c>
      <c r="B1188">
        <v>9.0356000000000005</v>
      </c>
    </row>
    <row r="1189" spans="1:2" x14ac:dyDescent="0.35">
      <c r="A1189" s="85">
        <v>44790</v>
      </c>
      <c r="B1189">
        <v>8.9131</v>
      </c>
    </row>
    <row r="1190" spans="1:2" x14ac:dyDescent="0.35">
      <c r="A1190" s="85">
        <v>44791</v>
      </c>
      <c r="B1190">
        <v>8.5525000000000002</v>
      </c>
    </row>
    <row r="1191" spans="1:2" x14ac:dyDescent="0.35">
      <c r="A1191" s="85">
        <v>44792</v>
      </c>
      <c r="B1191">
        <v>8.5525000000000002</v>
      </c>
    </row>
    <row r="1192" spans="1:2" x14ac:dyDescent="0.35">
      <c r="A1192" s="85">
        <v>44795</v>
      </c>
      <c r="B1192">
        <v>8.7566000000000006</v>
      </c>
    </row>
    <row r="1193" spans="1:2" x14ac:dyDescent="0.35">
      <c r="A1193" s="85">
        <v>44796</v>
      </c>
      <c r="B1193">
        <v>9.0356000000000005</v>
      </c>
    </row>
    <row r="1194" spans="1:2" x14ac:dyDescent="0.35">
      <c r="A1194" s="85">
        <v>44797</v>
      </c>
      <c r="B1194">
        <v>9.0015000000000001</v>
      </c>
    </row>
    <row r="1195" spans="1:2" x14ac:dyDescent="0.35">
      <c r="A1195" s="85">
        <v>44798</v>
      </c>
      <c r="B1195">
        <v>8.9335000000000004</v>
      </c>
    </row>
    <row r="1196" spans="1:2" x14ac:dyDescent="0.35">
      <c r="A1196" s="85">
        <v>44799</v>
      </c>
      <c r="B1196">
        <v>9.0015000000000001</v>
      </c>
    </row>
    <row r="1197" spans="1:2" x14ac:dyDescent="0.35">
      <c r="A1197" s="85">
        <v>44802</v>
      </c>
      <c r="B1197">
        <v>9.1172000000000004</v>
      </c>
    </row>
    <row r="1198" spans="1:2" x14ac:dyDescent="0.35">
      <c r="A1198" s="85">
        <v>44803</v>
      </c>
      <c r="B1198">
        <v>8.9742999999999995</v>
      </c>
    </row>
    <row r="1199" spans="1:2" x14ac:dyDescent="0.35">
      <c r="A1199" s="85">
        <v>44804</v>
      </c>
      <c r="B1199">
        <v>8.9946999999999999</v>
      </c>
    </row>
    <row r="1200" spans="1:2" x14ac:dyDescent="0.35">
      <c r="A1200" s="85">
        <v>44805</v>
      </c>
      <c r="B1200">
        <v>8.9403000000000006</v>
      </c>
    </row>
    <row r="1201" spans="1:2" x14ac:dyDescent="0.35">
      <c r="A1201" s="85">
        <v>44806</v>
      </c>
      <c r="B1201">
        <v>8.8041999999999998</v>
      </c>
    </row>
    <row r="1202" spans="1:2" x14ac:dyDescent="0.35">
      <c r="A1202" s="85">
        <v>44809</v>
      </c>
      <c r="B1202">
        <v>8.8178000000000001</v>
      </c>
    </row>
    <row r="1203" spans="1:2" x14ac:dyDescent="0.35">
      <c r="A1203" s="85">
        <v>44810</v>
      </c>
      <c r="B1203">
        <v>8.5048999999999992</v>
      </c>
    </row>
    <row r="1204" spans="1:2" x14ac:dyDescent="0.35">
      <c r="A1204" s="85">
        <v>44811</v>
      </c>
      <c r="B1204">
        <v>8.8722999999999992</v>
      </c>
    </row>
    <row r="1205" spans="1:2" x14ac:dyDescent="0.35">
      <c r="A1205" s="85">
        <v>44812</v>
      </c>
      <c r="B1205">
        <v>8.6885999999999992</v>
      </c>
    </row>
    <row r="1206" spans="1:2" x14ac:dyDescent="0.35">
      <c r="A1206" s="85">
        <v>44813</v>
      </c>
      <c r="B1206">
        <v>9.0083000000000002</v>
      </c>
    </row>
    <row r="1207" spans="1:2" x14ac:dyDescent="0.35">
      <c r="A1207" s="85">
        <v>44816</v>
      </c>
      <c r="B1207">
        <v>8.9878999999999998</v>
      </c>
    </row>
    <row r="1208" spans="1:2" x14ac:dyDescent="0.35">
      <c r="A1208" s="85">
        <v>44817</v>
      </c>
      <c r="B1208">
        <v>9.1511999999999993</v>
      </c>
    </row>
    <row r="1209" spans="1:2" x14ac:dyDescent="0.35">
      <c r="A1209" s="85">
        <v>44818</v>
      </c>
      <c r="B1209">
        <v>9.1783999999999999</v>
      </c>
    </row>
    <row r="1210" spans="1:2" x14ac:dyDescent="0.35">
      <c r="A1210" s="85">
        <v>44819</v>
      </c>
      <c r="B1210">
        <v>9.0492000000000008</v>
      </c>
    </row>
    <row r="1211" spans="1:2" x14ac:dyDescent="0.35">
      <c r="A1211" s="85">
        <v>44820</v>
      </c>
      <c r="B1211">
        <v>9.0968</v>
      </c>
    </row>
    <row r="1212" spans="1:2" x14ac:dyDescent="0.35">
      <c r="A1212" s="85">
        <v>44823</v>
      </c>
      <c r="B1212">
        <v>8.8519000000000005</v>
      </c>
    </row>
    <row r="1213" spans="1:2" x14ac:dyDescent="0.35">
      <c r="A1213" s="85">
        <v>44824</v>
      </c>
      <c r="B1213">
        <v>9.2329000000000008</v>
      </c>
    </row>
    <row r="1214" spans="1:2" x14ac:dyDescent="0.35">
      <c r="A1214" s="85">
        <v>44825</v>
      </c>
      <c r="B1214">
        <v>9.4710000000000001</v>
      </c>
    </row>
    <row r="1215" spans="1:2" x14ac:dyDescent="0.35">
      <c r="A1215" s="85">
        <v>44826</v>
      </c>
      <c r="B1215">
        <v>9.5117999999999991</v>
      </c>
    </row>
    <row r="1216" spans="1:2" x14ac:dyDescent="0.35">
      <c r="A1216" s="85">
        <v>44827</v>
      </c>
      <c r="B1216">
        <v>9.4166000000000007</v>
      </c>
    </row>
    <row r="1217" spans="1:2" x14ac:dyDescent="0.35">
      <c r="A1217" s="85">
        <v>44830</v>
      </c>
      <c r="B1217">
        <v>9.3552999999999997</v>
      </c>
    </row>
    <row r="1218" spans="1:2" x14ac:dyDescent="0.35">
      <c r="A1218" s="85">
        <v>44831</v>
      </c>
      <c r="B1218">
        <v>9.5117999999999991</v>
      </c>
    </row>
    <row r="1219" spans="1:2" x14ac:dyDescent="0.35">
      <c r="A1219" s="85">
        <v>44832</v>
      </c>
      <c r="B1219">
        <v>9.6342999999999996</v>
      </c>
    </row>
    <row r="1220" spans="1:2" x14ac:dyDescent="0.35">
      <c r="A1220" s="85">
        <v>44833</v>
      </c>
      <c r="B1220">
        <v>9.5867000000000004</v>
      </c>
    </row>
    <row r="1221" spans="1:2" x14ac:dyDescent="0.35">
      <c r="A1221" s="85">
        <v>44834</v>
      </c>
      <c r="B1221">
        <v>9.7090999999999994</v>
      </c>
    </row>
    <row r="1222" spans="1:2" x14ac:dyDescent="0.35">
      <c r="A1222" s="85">
        <v>44837</v>
      </c>
      <c r="B1222">
        <v>9.5594999999999999</v>
      </c>
    </row>
    <row r="1223" spans="1:2" x14ac:dyDescent="0.35">
      <c r="A1223" s="85">
        <v>44838</v>
      </c>
      <c r="B1223">
        <v>9.5390999999999995</v>
      </c>
    </row>
    <row r="1224" spans="1:2" x14ac:dyDescent="0.35">
      <c r="A1224" s="85">
        <v>44839</v>
      </c>
      <c r="B1224">
        <v>9.5867000000000004</v>
      </c>
    </row>
    <row r="1225" spans="1:2" x14ac:dyDescent="0.35">
      <c r="A1225" s="85">
        <v>44840</v>
      </c>
      <c r="B1225">
        <v>9.3826000000000001</v>
      </c>
    </row>
    <row r="1226" spans="1:2" x14ac:dyDescent="0.35">
      <c r="A1226" s="85">
        <v>44841</v>
      </c>
      <c r="B1226">
        <v>9.4641999999999999</v>
      </c>
    </row>
    <row r="1227" spans="1:2" x14ac:dyDescent="0.35">
      <c r="A1227" s="85">
        <v>44844</v>
      </c>
      <c r="B1227">
        <v>9.9200999999999997</v>
      </c>
    </row>
    <row r="1228" spans="1:2" x14ac:dyDescent="0.35">
      <c r="A1228" s="85">
        <v>44845</v>
      </c>
      <c r="B1228">
        <v>9.6615000000000002</v>
      </c>
    </row>
    <row r="1229" spans="1:2" x14ac:dyDescent="0.35">
      <c r="A1229" s="85">
        <v>44846</v>
      </c>
      <c r="B1229">
        <v>9.6071000000000009</v>
      </c>
    </row>
    <row r="1230" spans="1:2" x14ac:dyDescent="0.35">
      <c r="A1230" s="85">
        <v>44847</v>
      </c>
      <c r="B1230">
        <v>9.6751000000000005</v>
      </c>
    </row>
    <row r="1231" spans="1:2" x14ac:dyDescent="0.35">
      <c r="A1231" s="85">
        <v>44848</v>
      </c>
      <c r="B1231">
        <v>9.5253999999999994</v>
      </c>
    </row>
    <row r="1232" spans="1:2" x14ac:dyDescent="0.35">
      <c r="A1232" s="85">
        <v>44851</v>
      </c>
      <c r="B1232">
        <v>9.4098000000000006</v>
      </c>
    </row>
    <row r="1233" spans="1:2" x14ac:dyDescent="0.35">
      <c r="A1233" s="85">
        <v>44852</v>
      </c>
      <c r="B1233">
        <v>9.1036000000000001</v>
      </c>
    </row>
    <row r="1234" spans="1:2" x14ac:dyDescent="0.35">
      <c r="A1234" s="85">
        <v>44853</v>
      </c>
      <c r="B1234">
        <v>9.1308000000000007</v>
      </c>
    </row>
    <row r="1235" spans="1:2" x14ac:dyDescent="0.35">
      <c r="A1235" s="85">
        <v>44854</v>
      </c>
      <c r="B1235">
        <v>9.2329000000000008</v>
      </c>
    </row>
    <row r="1236" spans="1:2" x14ac:dyDescent="0.35">
      <c r="A1236" s="85">
        <v>44855</v>
      </c>
      <c r="B1236">
        <v>9.2941000000000003</v>
      </c>
    </row>
    <row r="1237" spans="1:2" x14ac:dyDescent="0.35">
      <c r="A1237" s="85">
        <v>44858</v>
      </c>
      <c r="B1237">
        <v>9.2396999999999991</v>
      </c>
    </row>
    <row r="1238" spans="1:2" x14ac:dyDescent="0.35">
      <c r="A1238" s="85">
        <v>44859</v>
      </c>
      <c r="B1238">
        <v>9.1511999999999993</v>
      </c>
    </row>
    <row r="1239" spans="1:2" x14ac:dyDescent="0.35">
      <c r="A1239" s="85">
        <v>44860</v>
      </c>
      <c r="B1239">
        <v>9.0968</v>
      </c>
    </row>
    <row r="1240" spans="1:2" x14ac:dyDescent="0.35">
      <c r="A1240" s="85">
        <v>44861</v>
      </c>
      <c r="B1240">
        <v>9.1443999999999992</v>
      </c>
    </row>
    <row r="1241" spans="1:2" x14ac:dyDescent="0.35">
      <c r="A1241" s="85">
        <v>44862</v>
      </c>
      <c r="B1241">
        <v>9.1783999999999999</v>
      </c>
    </row>
    <row r="1242" spans="1:2" x14ac:dyDescent="0.35">
      <c r="A1242" s="85">
        <v>44865</v>
      </c>
      <c r="B1242">
        <v>9.5663</v>
      </c>
    </row>
    <row r="1243" spans="1:2" x14ac:dyDescent="0.35">
      <c r="A1243" s="85">
        <v>44866</v>
      </c>
      <c r="B1243">
        <v>9.7840000000000007</v>
      </c>
    </row>
    <row r="1244" spans="1:2" x14ac:dyDescent="0.35">
      <c r="A1244" s="85">
        <v>44867</v>
      </c>
      <c r="B1244">
        <v>9.2805</v>
      </c>
    </row>
    <row r="1245" spans="1:2" x14ac:dyDescent="0.35">
      <c r="A1245" s="85">
        <v>44868</v>
      </c>
      <c r="B1245">
        <v>9.2736999999999998</v>
      </c>
    </row>
    <row r="1246" spans="1:2" x14ac:dyDescent="0.35">
      <c r="A1246" s="85">
        <v>44869</v>
      </c>
      <c r="B1246">
        <v>9.2193000000000005</v>
      </c>
    </row>
    <row r="1247" spans="1:2" x14ac:dyDescent="0.35">
      <c r="A1247" s="85">
        <v>44872</v>
      </c>
      <c r="B1247">
        <v>9.1308000000000007</v>
      </c>
    </row>
    <row r="1248" spans="1:2" x14ac:dyDescent="0.35">
      <c r="A1248" s="85">
        <v>44873</v>
      </c>
      <c r="B1248">
        <v>8.9539000000000009</v>
      </c>
    </row>
    <row r="1249" spans="1:2" x14ac:dyDescent="0.35">
      <c r="A1249" s="85">
        <v>44874</v>
      </c>
      <c r="B1249">
        <v>8.9335000000000004</v>
      </c>
    </row>
    <row r="1250" spans="1:2" x14ac:dyDescent="0.35">
      <c r="A1250" s="85">
        <v>44875</v>
      </c>
      <c r="B1250">
        <v>8.8994999999999997</v>
      </c>
    </row>
    <row r="1251" spans="1:2" x14ac:dyDescent="0.35">
      <c r="A1251" s="85">
        <v>44876</v>
      </c>
      <c r="B1251">
        <v>8.8994999999999997</v>
      </c>
    </row>
    <row r="1252" spans="1:2" x14ac:dyDescent="0.35">
      <c r="A1252" s="85">
        <v>44879</v>
      </c>
      <c r="B1252">
        <v>8.7973999999999997</v>
      </c>
    </row>
    <row r="1253" spans="1:2" x14ac:dyDescent="0.35">
      <c r="A1253" s="85">
        <v>44880</v>
      </c>
      <c r="B1253">
        <v>8.6953999999999994</v>
      </c>
    </row>
    <row r="1254" spans="1:2" x14ac:dyDescent="0.35">
      <c r="A1254" s="85">
        <v>44881</v>
      </c>
      <c r="B1254">
        <v>8.7021999999999995</v>
      </c>
    </row>
    <row r="1255" spans="1:2" x14ac:dyDescent="0.35">
      <c r="A1255" s="85">
        <v>44882</v>
      </c>
      <c r="B1255">
        <v>8.8383000000000003</v>
      </c>
    </row>
    <row r="1256" spans="1:2" x14ac:dyDescent="0.35">
      <c r="A1256" s="85">
        <v>44883</v>
      </c>
      <c r="B1256">
        <v>8.8655000000000008</v>
      </c>
    </row>
    <row r="1257" spans="1:2" x14ac:dyDescent="0.35">
      <c r="A1257" s="85">
        <v>44886</v>
      </c>
      <c r="B1257">
        <v>9.1308000000000007</v>
      </c>
    </row>
    <row r="1258" spans="1:2" x14ac:dyDescent="0.35">
      <c r="A1258" s="85">
        <v>44887</v>
      </c>
      <c r="B1258">
        <v>9.0492000000000008</v>
      </c>
    </row>
    <row r="1259" spans="1:2" x14ac:dyDescent="0.35">
      <c r="A1259" s="85">
        <v>44888</v>
      </c>
      <c r="B1259">
        <v>9.2677999999999994</v>
      </c>
    </row>
    <row r="1260" spans="1:2" x14ac:dyDescent="0.35">
      <c r="A1260" s="85">
        <v>44889</v>
      </c>
      <c r="B1260">
        <v>9.0642999999999994</v>
      </c>
    </row>
    <row r="1261" spans="1:2" x14ac:dyDescent="0.35">
      <c r="A1261" s="85">
        <v>44890</v>
      </c>
      <c r="B1261">
        <v>9.2271999999999998</v>
      </c>
    </row>
    <row r="1262" spans="1:2" x14ac:dyDescent="0.35">
      <c r="A1262" s="85">
        <v>44893</v>
      </c>
      <c r="B1262">
        <v>9.1493000000000002</v>
      </c>
    </row>
    <row r="1263" spans="1:2" x14ac:dyDescent="0.35">
      <c r="A1263" s="85">
        <v>44894</v>
      </c>
      <c r="B1263">
        <v>9.1651000000000007</v>
      </c>
    </row>
    <row r="1264" spans="1:2" x14ac:dyDescent="0.35">
      <c r="A1264" s="85">
        <v>44895</v>
      </c>
      <c r="B1264">
        <v>9.2697000000000003</v>
      </c>
    </row>
    <row r="1265" spans="1:2" x14ac:dyDescent="0.35">
      <c r="A1265" s="85">
        <v>44896</v>
      </c>
      <c r="B1265">
        <v>9.3317999999999994</v>
      </c>
    </row>
    <row r="1266" spans="1:2" x14ac:dyDescent="0.35">
      <c r="A1266" s="85">
        <v>44897</v>
      </c>
      <c r="B1266">
        <v>9.1766000000000005</v>
      </c>
    </row>
    <row r="1267" spans="1:2" x14ac:dyDescent="0.35">
      <c r="A1267" s="85">
        <v>44900</v>
      </c>
      <c r="B1267">
        <v>8.9329999999999998</v>
      </c>
    </row>
    <row r="1268" spans="1:2" x14ac:dyDescent="0.35">
      <c r="A1268" s="85">
        <v>44901</v>
      </c>
      <c r="B1268">
        <v>8.7810000000000006</v>
      </c>
    </row>
    <row r="1269" spans="1:2" x14ac:dyDescent="0.35">
      <c r="A1269" s="85">
        <v>44902</v>
      </c>
      <c r="B1269">
        <v>8.7788000000000004</v>
      </c>
    </row>
    <row r="1270" spans="1:2" x14ac:dyDescent="0.35">
      <c r="A1270" s="85">
        <v>44903</v>
      </c>
      <c r="B1270">
        <v>8.8437999999999999</v>
      </c>
    </row>
    <row r="1271" spans="1:2" x14ac:dyDescent="0.35">
      <c r="A1271" s="85">
        <v>44904</v>
      </c>
      <c r="B1271">
        <v>8.6579999999999995</v>
      </c>
    </row>
    <row r="1272" spans="1:2" x14ac:dyDescent="0.35">
      <c r="A1272" s="85">
        <v>44907</v>
      </c>
      <c r="B1272">
        <v>8.69</v>
      </c>
    </row>
    <row r="1273" spans="1:2" x14ac:dyDescent="0.35">
      <c r="A1273" s="85">
        <v>44908</v>
      </c>
      <c r="B1273">
        <v>8.8407</v>
      </c>
    </row>
    <row r="1274" spans="1:2" x14ac:dyDescent="0.35">
      <c r="A1274" s="85">
        <v>44909</v>
      </c>
      <c r="B1274">
        <v>8.7805</v>
      </c>
    </row>
    <row r="1275" spans="1:2" x14ac:dyDescent="0.35">
      <c r="A1275" s="85">
        <v>44910</v>
      </c>
      <c r="B1275">
        <v>8.6646000000000001</v>
      </c>
    </row>
    <row r="1276" spans="1:2" x14ac:dyDescent="0.35">
      <c r="A1276" s="85">
        <v>44911</v>
      </c>
      <c r="B1276">
        <v>8.5935000000000006</v>
      </c>
    </row>
    <row r="1277" spans="1:2" x14ac:dyDescent="0.35">
      <c r="A1277" s="85">
        <v>44914</v>
      </c>
      <c r="B1277">
        <v>8.5808999999999997</v>
      </c>
    </row>
    <row r="1278" spans="1:2" x14ac:dyDescent="0.35">
      <c r="A1278" s="85">
        <v>44915</v>
      </c>
      <c r="B1278">
        <v>8.5866000000000007</v>
      </c>
    </row>
    <row r="1279" spans="1:2" x14ac:dyDescent="0.35">
      <c r="A1279" s="85">
        <v>44916</v>
      </c>
      <c r="B1279">
        <v>8.7981999999999996</v>
      </c>
    </row>
    <row r="1280" spans="1:2" x14ac:dyDescent="0.35">
      <c r="A1280" s="85">
        <v>44917</v>
      </c>
      <c r="B1280">
        <v>8.7195</v>
      </c>
    </row>
    <row r="1281" spans="1:2" x14ac:dyDescent="0.35">
      <c r="A1281" s="85">
        <v>44918</v>
      </c>
      <c r="B1281">
        <v>9.0231999999999992</v>
      </c>
    </row>
    <row r="1282" spans="1:2" x14ac:dyDescent="0.35">
      <c r="A1282" s="85">
        <v>44921</v>
      </c>
      <c r="B1282">
        <v>9.0394000000000005</v>
      </c>
    </row>
    <row r="1283" spans="1:2" x14ac:dyDescent="0.35">
      <c r="A1283" s="85">
        <v>44922</v>
      </c>
      <c r="B1283">
        <v>9.1105</v>
      </c>
    </row>
    <row r="1284" spans="1:2" x14ac:dyDescent="0.35">
      <c r="A1284" s="85">
        <v>44923</v>
      </c>
      <c r="B1284">
        <v>9.0983999999999998</v>
      </c>
    </row>
    <row r="1285" spans="1:2" x14ac:dyDescent="0.35">
      <c r="A1285" s="85">
        <v>44924</v>
      </c>
      <c r="B1285">
        <v>8.9527000000000001</v>
      </c>
    </row>
    <row r="1286" spans="1:2" x14ac:dyDescent="0.35">
      <c r="A1286" s="85">
        <v>44925</v>
      </c>
      <c r="B1286">
        <v>8.9571000000000005</v>
      </c>
    </row>
    <row r="1287" spans="1:2" x14ac:dyDescent="0.35">
      <c r="A1287" s="85">
        <v>44928</v>
      </c>
      <c r="B1287">
        <v>8.9471000000000007</v>
      </c>
    </row>
    <row r="1288" spans="1:2" x14ac:dyDescent="0.35">
      <c r="A1288" s="85">
        <v>44929</v>
      </c>
      <c r="B1288">
        <v>8.6998999999999995</v>
      </c>
    </row>
    <row r="1289" spans="1:2" x14ac:dyDescent="0.35">
      <c r="A1289" s="85">
        <v>44930</v>
      </c>
      <c r="B1289">
        <v>8.6329999999999991</v>
      </c>
    </row>
    <row r="1290" spans="1:2" x14ac:dyDescent="0.35">
      <c r="A1290" s="85">
        <v>44931</v>
      </c>
      <c r="B1290">
        <v>8.6195000000000004</v>
      </c>
    </row>
    <row r="1291" spans="1:2" x14ac:dyDescent="0.35">
      <c r="A1291" s="85">
        <v>44932</v>
      </c>
      <c r="B1291">
        <v>8.6976999999999993</v>
      </c>
    </row>
    <row r="1292" spans="1:2" x14ac:dyDescent="0.35">
      <c r="A1292" s="85">
        <v>44935</v>
      </c>
      <c r="B1292">
        <v>8.6519999999999992</v>
      </c>
    </row>
    <row r="1293" spans="1:2" x14ac:dyDescent="0.35">
      <c r="A1293" s="85">
        <v>44936</v>
      </c>
      <c r="B1293">
        <v>8.4953000000000003</v>
      </c>
    </row>
    <row r="1294" spans="1:2" x14ac:dyDescent="0.35">
      <c r="A1294" s="85">
        <v>44937</v>
      </c>
      <c r="B1294">
        <v>8.5632000000000001</v>
      </c>
    </row>
    <row r="1295" spans="1:2" x14ac:dyDescent="0.35">
      <c r="A1295" s="85">
        <v>44938</v>
      </c>
      <c r="B1295">
        <v>8.5862999999999996</v>
      </c>
    </row>
    <row r="1296" spans="1:2" x14ac:dyDescent="0.35">
      <c r="A1296" s="85">
        <v>44939</v>
      </c>
      <c r="B1296">
        <v>8.5056999999999992</v>
      </c>
    </row>
    <row r="1297" spans="1:2" x14ac:dyDescent="0.35">
      <c r="A1297" s="85">
        <v>44942</v>
      </c>
      <c r="B1297">
        <v>8.4463000000000008</v>
      </c>
    </row>
    <row r="1298" spans="1:2" x14ac:dyDescent="0.35">
      <c r="A1298" s="85">
        <v>44943</v>
      </c>
      <c r="B1298">
        <v>8.4237000000000002</v>
      </c>
    </row>
    <row r="1299" spans="1:2" x14ac:dyDescent="0.35">
      <c r="A1299" s="85">
        <v>44944</v>
      </c>
      <c r="B1299">
        <v>8.4678000000000004</v>
      </c>
    </row>
    <row r="1300" spans="1:2" x14ac:dyDescent="0.35">
      <c r="A1300" s="85">
        <v>44945</v>
      </c>
      <c r="B1300">
        <v>8.4017999999999997</v>
      </c>
    </row>
    <row r="1301" spans="1:2" x14ac:dyDescent="0.35">
      <c r="A1301" s="85">
        <v>44946</v>
      </c>
      <c r="B1301">
        <v>8.3989999999999991</v>
      </c>
    </row>
    <row r="1302" spans="1:2" x14ac:dyDescent="0.35">
      <c r="A1302" s="85">
        <v>44949</v>
      </c>
      <c r="B1302">
        <v>8.2707999999999995</v>
      </c>
    </row>
    <row r="1303" spans="1:2" x14ac:dyDescent="0.35">
      <c r="A1303" s="85">
        <v>44950</v>
      </c>
      <c r="B1303">
        <v>8.3422999999999998</v>
      </c>
    </row>
    <row r="1304" spans="1:2" x14ac:dyDescent="0.35">
      <c r="A1304" s="85">
        <v>44951</v>
      </c>
      <c r="B1304">
        <v>8.4535999999999998</v>
      </c>
    </row>
    <row r="1305" spans="1:2" x14ac:dyDescent="0.35">
      <c r="A1305" s="85">
        <v>44952</v>
      </c>
      <c r="B1305">
        <v>8.5349000000000004</v>
      </c>
    </row>
    <row r="1306" spans="1:2" x14ac:dyDescent="0.35">
      <c r="A1306" s="85">
        <v>44953</v>
      </c>
      <c r="B1306">
        <v>8.4542000000000002</v>
      </c>
    </row>
    <row r="1307" spans="1:2" x14ac:dyDescent="0.35">
      <c r="A1307" s="85">
        <v>44956</v>
      </c>
      <c r="B1307">
        <v>8.4926999999999992</v>
      </c>
    </row>
    <row r="1308" spans="1:2" x14ac:dyDescent="0.35">
      <c r="A1308" s="85">
        <v>44957</v>
      </c>
      <c r="B1308">
        <v>8.5005000000000006</v>
      </c>
    </row>
    <row r="1309" spans="1:2" x14ac:dyDescent="0.35">
      <c r="A1309" s="85">
        <v>44958</v>
      </c>
      <c r="B1309">
        <v>8.5474999999999994</v>
      </c>
    </row>
    <row r="1310" spans="1:2" x14ac:dyDescent="0.35">
      <c r="A1310" s="85">
        <v>44959</v>
      </c>
      <c r="B1310">
        <v>8.3955000000000002</v>
      </c>
    </row>
    <row r="1311" spans="1:2" x14ac:dyDescent="0.35">
      <c r="A1311" s="85">
        <v>44960</v>
      </c>
      <c r="B1311">
        <v>8.3437000000000001</v>
      </c>
    </row>
    <row r="1312" spans="1:2" x14ac:dyDescent="0.35">
      <c r="A1312" s="85">
        <v>44963</v>
      </c>
      <c r="B1312">
        <v>8.4168000000000003</v>
      </c>
    </row>
    <row r="1313" spans="1:2" x14ac:dyDescent="0.35">
      <c r="A1313" s="85">
        <v>44964</v>
      </c>
      <c r="B1313">
        <v>8.5489999999999995</v>
      </c>
    </row>
    <row r="1314" spans="1:2" x14ac:dyDescent="0.35">
      <c r="A1314" s="85">
        <v>44965</v>
      </c>
      <c r="B1314">
        <v>8.6010000000000009</v>
      </c>
    </row>
    <row r="1315" spans="1:2" x14ac:dyDescent="0.35">
      <c r="A1315" s="85">
        <v>44966</v>
      </c>
      <c r="B1315">
        <v>8.5268999999999995</v>
      </c>
    </row>
    <row r="1316" spans="1:2" x14ac:dyDescent="0.35">
      <c r="A1316" s="85">
        <v>44967</v>
      </c>
      <c r="B1316">
        <v>8.6092999999999993</v>
      </c>
    </row>
    <row r="1317" spans="1:2" x14ac:dyDescent="0.35">
      <c r="A1317" s="85">
        <v>44970</v>
      </c>
      <c r="B1317">
        <v>8.7217000000000002</v>
      </c>
    </row>
    <row r="1318" spans="1:2" x14ac:dyDescent="0.35">
      <c r="A1318" s="85">
        <v>44971</v>
      </c>
      <c r="B1318">
        <v>8.7655999999999992</v>
      </c>
    </row>
    <row r="1319" spans="1:2" x14ac:dyDescent="0.35">
      <c r="A1319" s="85">
        <v>44972</v>
      </c>
      <c r="B1319">
        <v>8.6020000000000003</v>
      </c>
    </row>
    <row r="1320" spans="1:2" x14ac:dyDescent="0.35">
      <c r="A1320" s="85">
        <v>44973</v>
      </c>
      <c r="B1320">
        <v>8.5326000000000004</v>
      </c>
    </row>
    <row r="1321" spans="1:2" x14ac:dyDescent="0.35">
      <c r="A1321" s="85">
        <v>44974</v>
      </c>
      <c r="B1321">
        <v>8.6066000000000003</v>
      </c>
    </row>
    <row r="1322" spans="1:2" x14ac:dyDescent="0.35">
      <c r="A1322" s="85">
        <v>44977</v>
      </c>
      <c r="B1322">
        <v>8.5648</v>
      </c>
    </row>
    <row r="1323" spans="1:2" x14ac:dyDescent="0.35">
      <c r="A1323" s="85">
        <v>44978</v>
      </c>
      <c r="B1323">
        <v>8.3468</v>
      </c>
    </row>
    <row r="1324" spans="1:2" x14ac:dyDescent="0.35">
      <c r="A1324" s="85">
        <v>44979</v>
      </c>
      <c r="B1324">
        <v>8.0893999999999995</v>
      </c>
    </row>
    <row r="1325" spans="1:2" x14ac:dyDescent="0.35">
      <c r="A1325" s="85">
        <v>44980</v>
      </c>
      <c r="B1325">
        <v>8.1769999999999996</v>
      </c>
    </row>
    <row r="1326" spans="1:2" x14ac:dyDescent="0.35">
      <c r="A1326" s="85">
        <v>44981</v>
      </c>
      <c r="B1326">
        <v>8.0387000000000004</v>
      </c>
    </row>
    <row r="1327" spans="1:2" x14ac:dyDescent="0.35">
      <c r="A1327" s="85">
        <v>44984</v>
      </c>
      <c r="B1327">
        <v>8.0180000000000007</v>
      </c>
    </row>
    <row r="1328" spans="1:2" x14ac:dyDescent="0.35">
      <c r="A1328" s="85">
        <v>44985</v>
      </c>
      <c r="B1328">
        <v>7.8887999999999998</v>
      </c>
    </row>
    <row r="1329" spans="1:2" x14ac:dyDescent="0.35">
      <c r="A1329" s="85">
        <v>44986</v>
      </c>
      <c r="B1329">
        <v>7.8848000000000003</v>
      </c>
    </row>
    <row r="1330" spans="1:2" x14ac:dyDescent="0.35">
      <c r="A1330" s="85">
        <v>44987</v>
      </c>
      <c r="B1330">
        <v>7.8949999999999996</v>
      </c>
    </row>
    <row r="1331" spans="1:2" x14ac:dyDescent="0.35">
      <c r="A1331" s="85">
        <v>44988</v>
      </c>
      <c r="B1331">
        <v>7.9024000000000001</v>
      </c>
    </row>
    <row r="1332" spans="1:2" x14ac:dyDescent="0.35">
      <c r="A1332" s="85">
        <v>44991</v>
      </c>
      <c r="B1332">
        <v>7.9227999999999996</v>
      </c>
    </row>
    <row r="1333" spans="1:2" x14ac:dyDescent="0.35">
      <c r="A1333" s="85">
        <v>44992</v>
      </c>
      <c r="B1333">
        <v>7.7380000000000004</v>
      </c>
    </row>
    <row r="1334" spans="1:2" x14ac:dyDescent="0.35">
      <c r="A1334" s="85">
        <v>44993</v>
      </c>
      <c r="B1334">
        <v>7.5972999999999997</v>
      </c>
    </row>
    <row r="1335" spans="1:2" x14ac:dyDescent="0.35">
      <c r="A1335" s="85">
        <v>44994</v>
      </c>
      <c r="B1335">
        <v>7.5396999999999998</v>
      </c>
    </row>
    <row r="1336" spans="1:2" x14ac:dyDescent="0.35">
      <c r="A1336" s="85">
        <v>44995</v>
      </c>
      <c r="B1336">
        <v>7.5816999999999997</v>
      </c>
    </row>
    <row r="1337" spans="1:2" x14ac:dyDescent="0.35">
      <c r="A1337" s="85">
        <v>44998</v>
      </c>
      <c r="B1337">
        <v>7.8007</v>
      </c>
    </row>
    <row r="1338" spans="1:2" x14ac:dyDescent="0.35">
      <c r="A1338" s="85">
        <v>44999</v>
      </c>
      <c r="B1338">
        <v>7.8385999999999996</v>
      </c>
    </row>
    <row r="1339" spans="1:2" x14ac:dyDescent="0.35">
      <c r="A1339" s="85">
        <v>45000</v>
      </c>
      <c r="B1339">
        <v>7.8436000000000003</v>
      </c>
    </row>
    <row r="1340" spans="1:2" x14ac:dyDescent="0.35">
      <c r="A1340" s="85">
        <v>45001</v>
      </c>
      <c r="B1340">
        <v>7.7812999999999999</v>
      </c>
    </row>
    <row r="1341" spans="1:2" x14ac:dyDescent="0.35">
      <c r="A1341" s="85">
        <v>45002</v>
      </c>
      <c r="B1341">
        <v>7.8113000000000001</v>
      </c>
    </row>
    <row r="1342" spans="1:2" x14ac:dyDescent="0.35">
      <c r="A1342" s="85">
        <v>45005</v>
      </c>
      <c r="B1342">
        <v>7.5118999999999998</v>
      </c>
    </row>
    <row r="1343" spans="1:2" x14ac:dyDescent="0.35">
      <c r="A1343" s="85">
        <v>45006</v>
      </c>
      <c r="B1343">
        <v>7.4257999999999997</v>
      </c>
    </row>
    <row r="1344" spans="1:2" x14ac:dyDescent="0.35">
      <c r="A1344" s="85">
        <v>45007</v>
      </c>
      <c r="B1344">
        <v>7.3137999999999996</v>
      </c>
    </row>
    <row r="1345" spans="1:2" x14ac:dyDescent="0.35">
      <c r="A1345" s="85">
        <v>45008</v>
      </c>
      <c r="B1345">
        <v>7.2325999999999997</v>
      </c>
    </row>
    <row r="1346" spans="1:2" x14ac:dyDescent="0.35">
      <c r="A1346" s="85">
        <v>45009</v>
      </c>
      <c r="B1346">
        <v>7.5785999999999998</v>
      </c>
    </row>
    <row r="1347" spans="1:2" x14ac:dyDescent="0.35">
      <c r="A1347" s="85">
        <v>45012</v>
      </c>
      <c r="B1347">
        <v>7.8310000000000004</v>
      </c>
    </row>
    <row r="1348" spans="1:2" x14ac:dyDescent="0.35">
      <c r="A1348" s="85">
        <v>45013</v>
      </c>
      <c r="B1348">
        <v>7.7603999999999997</v>
      </c>
    </row>
    <row r="1349" spans="1:2" x14ac:dyDescent="0.35">
      <c r="A1349" s="85">
        <v>45014</v>
      </c>
      <c r="B1349">
        <v>7.8376999999999999</v>
      </c>
    </row>
    <row r="1350" spans="1:2" x14ac:dyDescent="0.35">
      <c r="A1350" s="85">
        <v>45015</v>
      </c>
      <c r="B1350">
        <v>7.7771999999999997</v>
      </c>
    </row>
    <row r="1351" spans="1:2" x14ac:dyDescent="0.35">
      <c r="A1351" s="85">
        <v>45016</v>
      </c>
      <c r="B1351">
        <v>7.7145999999999999</v>
      </c>
    </row>
    <row r="1352" spans="1:2" x14ac:dyDescent="0.35">
      <c r="A1352" s="85">
        <v>45019</v>
      </c>
      <c r="B1352">
        <v>7.6449999999999996</v>
      </c>
    </row>
    <row r="1353" spans="1:2" x14ac:dyDescent="0.35">
      <c r="A1353" s="85">
        <v>45020</v>
      </c>
      <c r="B1353">
        <v>7.6218000000000004</v>
      </c>
    </row>
    <row r="1354" spans="1:2" x14ac:dyDescent="0.35">
      <c r="A1354" s="85">
        <v>45021</v>
      </c>
      <c r="B1354">
        <v>7.5308999999999999</v>
      </c>
    </row>
    <row r="1355" spans="1:2" x14ac:dyDescent="0.35">
      <c r="A1355" s="85">
        <v>45022</v>
      </c>
      <c r="B1355">
        <v>7.4690000000000003</v>
      </c>
    </row>
    <row r="1356" spans="1:2" x14ac:dyDescent="0.35">
      <c r="A1356" s="85">
        <v>45023</v>
      </c>
      <c r="B1356">
        <v>7.5202999999999998</v>
      </c>
    </row>
    <row r="1357" spans="1:2" x14ac:dyDescent="0.35">
      <c r="A1357" s="85">
        <v>45026</v>
      </c>
      <c r="B1357">
        <v>7.4321000000000002</v>
      </c>
    </row>
    <row r="1358" spans="1:2" x14ac:dyDescent="0.35">
      <c r="A1358" s="85">
        <v>45027</v>
      </c>
      <c r="B1358">
        <v>7.4939999999999998</v>
      </c>
    </row>
    <row r="1359" spans="1:2" x14ac:dyDescent="0.35">
      <c r="A1359" s="85">
        <v>45028</v>
      </c>
      <c r="B1359">
        <v>7.5209999999999999</v>
      </c>
    </row>
    <row r="1360" spans="1:2" x14ac:dyDescent="0.35">
      <c r="A1360" s="85">
        <v>45029</v>
      </c>
      <c r="B1360">
        <v>7.4294000000000002</v>
      </c>
    </row>
    <row r="1361" spans="1:2" x14ac:dyDescent="0.35">
      <c r="A1361" s="85">
        <v>45030</v>
      </c>
      <c r="B1361">
        <v>7.5269000000000004</v>
      </c>
    </row>
    <row r="1362" spans="1:2" x14ac:dyDescent="0.35">
      <c r="A1362" s="85">
        <v>45033</v>
      </c>
      <c r="B1362">
        <v>7.5982000000000003</v>
      </c>
    </row>
    <row r="1363" spans="1:2" x14ac:dyDescent="0.35">
      <c r="A1363" s="85">
        <v>45034</v>
      </c>
      <c r="B1363">
        <v>7.7674000000000003</v>
      </c>
    </row>
    <row r="1364" spans="1:2" x14ac:dyDescent="0.35">
      <c r="A1364" s="85">
        <v>45035</v>
      </c>
      <c r="B1364">
        <v>7.5545999999999998</v>
      </c>
    </row>
    <row r="1365" spans="1:2" x14ac:dyDescent="0.35">
      <c r="A1365" s="85">
        <v>45036</v>
      </c>
      <c r="B1365">
        <v>7.4706000000000001</v>
      </c>
    </row>
    <row r="1366" spans="1:2" x14ac:dyDescent="0.35">
      <c r="A1366" s="85">
        <v>45037</v>
      </c>
      <c r="B1366">
        <v>7.3621999999999996</v>
      </c>
    </row>
    <row r="1367" spans="1:2" x14ac:dyDescent="0.35">
      <c r="A1367" s="85">
        <v>45040</v>
      </c>
      <c r="B1367">
        <v>7.3411999999999997</v>
      </c>
    </row>
    <row r="1368" spans="1:2" x14ac:dyDescent="0.35">
      <c r="A1368" s="85">
        <v>45041</v>
      </c>
      <c r="B1368">
        <v>7.2493999999999996</v>
      </c>
    </row>
    <row r="1369" spans="1:2" x14ac:dyDescent="0.35">
      <c r="A1369" s="85">
        <v>45042</v>
      </c>
      <c r="B1369">
        <v>7.3201999999999998</v>
      </c>
    </row>
    <row r="1370" spans="1:2" x14ac:dyDescent="0.35">
      <c r="A1370" s="85">
        <v>45043</v>
      </c>
      <c r="B1370">
        <v>7.1532999999999998</v>
      </c>
    </row>
    <row r="1371" spans="1:2" x14ac:dyDescent="0.35">
      <c r="A1371" s="85">
        <v>45044</v>
      </c>
      <c r="B1371">
        <v>7.2249999999999996</v>
      </c>
    </row>
    <row r="1372" spans="1:2" x14ac:dyDescent="0.35">
      <c r="A1372" s="85">
        <v>45047</v>
      </c>
      <c r="B1372">
        <v>7.1204999999999998</v>
      </c>
    </row>
    <row r="1373" spans="1:2" x14ac:dyDescent="0.35">
      <c r="A1373" s="85">
        <v>45048</v>
      </c>
      <c r="B1373">
        <v>6.9755000000000003</v>
      </c>
    </row>
    <row r="1374" spans="1:2" x14ac:dyDescent="0.35">
      <c r="A1374" s="85">
        <v>45049</v>
      </c>
      <c r="B1374">
        <v>7.0736999999999997</v>
      </c>
    </row>
    <row r="1375" spans="1:2" x14ac:dyDescent="0.35">
      <c r="A1375" s="85">
        <v>45050</v>
      </c>
      <c r="B1375">
        <v>7.1406000000000001</v>
      </c>
    </row>
    <row r="1376" spans="1:2" x14ac:dyDescent="0.35">
      <c r="A1376" s="85">
        <v>45051</v>
      </c>
      <c r="B1376">
        <v>7.2603</v>
      </c>
    </row>
    <row r="1377" spans="1:2" x14ac:dyDescent="0.35">
      <c r="A1377" s="85">
        <v>45054</v>
      </c>
      <c r="B1377">
        <v>7.1006</v>
      </c>
    </row>
    <row r="1378" spans="1:2" x14ac:dyDescent="0.35">
      <c r="A1378" s="85">
        <v>45055</v>
      </c>
      <c r="B1378">
        <v>6.7213000000000003</v>
      </c>
    </row>
    <row r="1379" spans="1:2" x14ac:dyDescent="0.35">
      <c r="A1379" s="85">
        <v>45056</v>
      </c>
      <c r="B1379">
        <v>6.6955</v>
      </c>
    </row>
    <row r="1380" spans="1:2" x14ac:dyDescent="0.35">
      <c r="A1380" s="85">
        <v>45057</v>
      </c>
      <c r="B1380">
        <v>6.8910999999999998</v>
      </c>
    </row>
    <row r="1381" spans="1:2" x14ac:dyDescent="0.35">
      <c r="A1381" s="85">
        <v>45058</v>
      </c>
      <c r="B1381">
        <v>6.9732000000000003</v>
      </c>
    </row>
    <row r="1382" spans="1:2" x14ac:dyDescent="0.35">
      <c r="A1382" s="85">
        <v>45061</v>
      </c>
      <c r="B1382">
        <v>7.0730000000000004</v>
      </c>
    </row>
    <row r="1383" spans="1:2" x14ac:dyDescent="0.35">
      <c r="A1383" s="85">
        <v>45062</v>
      </c>
      <c r="B1383">
        <v>6.9340999999999999</v>
      </c>
    </row>
    <row r="1384" spans="1:2" x14ac:dyDescent="0.35">
      <c r="A1384" s="85">
        <v>45063</v>
      </c>
      <c r="B1384">
        <v>6.6870000000000003</v>
      </c>
    </row>
    <row r="1385" spans="1:2" x14ac:dyDescent="0.35">
      <c r="A1385" s="85">
        <v>45064</v>
      </c>
      <c r="B1385">
        <v>6.5101000000000004</v>
      </c>
    </row>
    <row r="1386" spans="1:2" x14ac:dyDescent="0.35">
      <c r="A1386" s="85">
        <v>45065</v>
      </c>
      <c r="B1386">
        <v>6.5403000000000002</v>
      </c>
    </row>
    <row r="1387" spans="1:2" x14ac:dyDescent="0.35">
      <c r="A1387" s="85">
        <v>45068</v>
      </c>
      <c r="B1387">
        <v>6.5023999999999997</v>
      </c>
    </row>
    <row r="1388" spans="1:2" x14ac:dyDescent="0.35">
      <c r="A1388" s="85">
        <v>45069</v>
      </c>
      <c r="B1388">
        <v>6.6315999999999997</v>
      </c>
    </row>
    <row r="1389" spans="1:2" x14ac:dyDescent="0.35">
      <c r="A1389" s="85">
        <v>45070</v>
      </c>
      <c r="B1389">
        <v>6.5419</v>
      </c>
    </row>
    <row r="1390" spans="1:2" x14ac:dyDescent="0.35">
      <c r="A1390" s="85">
        <v>45071</v>
      </c>
      <c r="B1390">
        <v>6.4786999999999999</v>
      </c>
    </row>
    <row r="1391" spans="1:2" x14ac:dyDescent="0.35">
      <c r="A1391" s="85">
        <v>45072</v>
      </c>
      <c r="B1391">
        <v>6.6368</v>
      </c>
    </row>
    <row r="1392" spans="1:2" x14ac:dyDescent="0.35">
      <c r="A1392" s="85">
        <v>45075</v>
      </c>
      <c r="B1392">
        <v>6.5861999999999998</v>
      </c>
    </row>
    <row r="1393" spans="1:2" x14ac:dyDescent="0.35">
      <c r="A1393" s="85">
        <v>45076</v>
      </c>
      <c r="B1393">
        <v>6.4268999999999998</v>
      </c>
    </row>
    <row r="1394" spans="1:2" x14ac:dyDescent="0.35">
      <c r="A1394" s="85">
        <v>45077</v>
      </c>
      <c r="B1394">
        <v>6.3459000000000003</v>
      </c>
    </row>
    <row r="1395" spans="1:2" x14ac:dyDescent="0.35">
      <c r="A1395" s="85">
        <v>45078</v>
      </c>
      <c r="B1395">
        <v>6.4644000000000004</v>
      </c>
    </row>
    <row r="1396" spans="1:2" x14ac:dyDescent="0.35">
      <c r="A1396" s="85">
        <v>45079</v>
      </c>
      <c r="B1396">
        <v>6.5547000000000004</v>
      </c>
    </row>
    <row r="1397" spans="1:2" x14ac:dyDescent="0.35">
      <c r="A1397" s="85">
        <v>45082</v>
      </c>
      <c r="B1397">
        <v>6.7563000000000004</v>
      </c>
    </row>
    <row r="1398" spans="1:2" x14ac:dyDescent="0.35">
      <c r="A1398" s="85">
        <v>45083</v>
      </c>
      <c r="B1398">
        <v>6.6951999999999998</v>
      </c>
    </row>
    <row r="1399" spans="1:2" x14ac:dyDescent="0.35">
      <c r="A1399" s="85">
        <v>45084</v>
      </c>
      <c r="B1399">
        <v>6.6571999999999996</v>
      </c>
    </row>
    <row r="1400" spans="1:2" x14ac:dyDescent="0.35">
      <c r="A1400" s="85">
        <v>45085</v>
      </c>
      <c r="B1400">
        <v>6.8395999999999999</v>
      </c>
    </row>
    <row r="1401" spans="1:2" x14ac:dyDescent="0.35">
      <c r="A1401" s="85">
        <v>45086</v>
      </c>
      <c r="B1401">
        <v>6.8776000000000002</v>
      </c>
    </row>
    <row r="1402" spans="1:2" x14ac:dyDescent="0.35">
      <c r="A1402" s="85">
        <v>45089</v>
      </c>
      <c r="B1402">
        <v>6.9648000000000003</v>
      </c>
    </row>
    <row r="1403" spans="1:2" x14ac:dyDescent="0.35">
      <c r="A1403" s="85">
        <v>45090</v>
      </c>
      <c r="B1403">
        <v>7.0122999999999998</v>
      </c>
    </row>
    <row r="1404" spans="1:2" x14ac:dyDescent="0.35">
      <c r="A1404" s="85">
        <v>45091</v>
      </c>
      <c r="B1404">
        <v>6.8733000000000004</v>
      </c>
    </row>
    <row r="1405" spans="1:2" x14ac:dyDescent="0.35">
      <c r="A1405" s="85">
        <v>45092</v>
      </c>
      <c r="B1405">
        <v>7.0113000000000003</v>
      </c>
    </row>
    <row r="1406" spans="1:2" x14ac:dyDescent="0.35">
      <c r="A1406" s="85">
        <v>45093</v>
      </c>
      <c r="B1406">
        <v>7.1117999999999997</v>
      </c>
    </row>
    <row r="1407" spans="1:2" x14ac:dyDescent="0.35">
      <c r="A1407" s="85">
        <v>45096</v>
      </c>
      <c r="B1407">
        <v>7.1866000000000003</v>
      </c>
    </row>
    <row r="1408" spans="1:2" x14ac:dyDescent="0.35">
      <c r="A1408" s="85">
        <v>45097</v>
      </c>
      <c r="B1408">
        <v>7.0751999999999997</v>
      </c>
    </row>
    <row r="1409" spans="1:2" x14ac:dyDescent="0.35">
      <c r="A1409" s="85">
        <v>45098</v>
      </c>
      <c r="B1409">
        <v>7.3592000000000004</v>
      </c>
    </row>
    <row r="1410" spans="1:2" x14ac:dyDescent="0.35">
      <c r="A1410" s="85">
        <v>45099</v>
      </c>
      <c r="B1410">
        <v>7.4847999999999999</v>
      </c>
    </row>
    <row r="1411" spans="1:2" x14ac:dyDescent="0.35">
      <c r="A1411" s="85">
        <v>45100</v>
      </c>
      <c r="B1411">
        <v>7.3372000000000002</v>
      </c>
    </row>
    <row r="1412" spans="1:2" x14ac:dyDescent="0.35">
      <c r="A1412" s="85">
        <v>45103</v>
      </c>
      <c r="B1412">
        <v>7.2746000000000004</v>
      </c>
    </row>
    <row r="1413" spans="1:2" x14ac:dyDescent="0.35">
      <c r="A1413" s="85">
        <v>45104</v>
      </c>
      <c r="B1413">
        <v>7.0332999999999997</v>
      </c>
    </row>
    <row r="1414" spans="1:2" x14ac:dyDescent="0.35">
      <c r="A1414" s="85">
        <v>45105</v>
      </c>
      <c r="B1414">
        <v>6.8712999999999997</v>
      </c>
    </row>
    <row r="1415" spans="1:2" x14ac:dyDescent="0.35">
      <c r="A1415" s="85">
        <v>45106</v>
      </c>
      <c r="B1415">
        <v>6.9138000000000002</v>
      </c>
    </row>
    <row r="1416" spans="1:2" x14ac:dyDescent="0.35">
      <c r="A1416" s="85">
        <v>45107</v>
      </c>
      <c r="B1416">
        <v>6.8602999999999996</v>
      </c>
    </row>
    <row r="1417" spans="1:2" x14ac:dyDescent="0.35">
      <c r="A1417" s="85">
        <v>45110</v>
      </c>
      <c r="B1417">
        <v>6.7129000000000003</v>
      </c>
    </row>
    <row r="1418" spans="1:2" x14ac:dyDescent="0.35">
      <c r="A1418" s="85">
        <v>45111</v>
      </c>
      <c r="B1418">
        <v>6.7622999999999998</v>
      </c>
    </row>
    <row r="1419" spans="1:2" x14ac:dyDescent="0.35">
      <c r="A1419" s="85">
        <v>45112</v>
      </c>
      <c r="B1419">
        <v>6.8853</v>
      </c>
    </row>
    <row r="1420" spans="1:2" x14ac:dyDescent="0.35">
      <c r="A1420" s="85">
        <v>45113</v>
      </c>
      <c r="B1420">
        <v>6.9210000000000003</v>
      </c>
    </row>
    <row r="1421" spans="1:2" x14ac:dyDescent="0.35">
      <c r="A1421" s="85">
        <v>45114</v>
      </c>
      <c r="B1421">
        <v>6.9321000000000002</v>
      </c>
    </row>
    <row r="1422" spans="1:2" x14ac:dyDescent="0.35">
      <c r="A1422" s="85">
        <v>45117</v>
      </c>
      <c r="B1422">
        <v>6.8512000000000004</v>
      </c>
    </row>
    <row r="1423" spans="1:2" x14ac:dyDescent="0.35">
      <c r="A1423" s="85">
        <v>45118</v>
      </c>
      <c r="B1423">
        <v>6.9661</v>
      </c>
    </row>
    <row r="1424" spans="1:2" x14ac:dyDescent="0.35">
      <c r="A1424" s="85">
        <v>45119</v>
      </c>
      <c r="B1424">
        <v>6.9069000000000003</v>
      </c>
    </row>
    <row r="1425" spans="1:2" x14ac:dyDescent="0.35">
      <c r="A1425" s="85">
        <v>45120</v>
      </c>
      <c r="B1425">
        <v>6.9817999999999998</v>
      </c>
    </row>
    <row r="1426" spans="1:2" x14ac:dyDescent="0.35">
      <c r="A1426" s="85">
        <v>45121</v>
      </c>
      <c r="B1426">
        <v>7.1032999999999999</v>
      </c>
    </row>
    <row r="1427" spans="1:2" x14ac:dyDescent="0.35">
      <c r="A1427" s="85">
        <v>45124</v>
      </c>
      <c r="B1427">
        <v>7.1204999999999998</v>
      </c>
    </row>
    <row r="1428" spans="1:2" x14ac:dyDescent="0.35">
      <c r="A1428" s="85">
        <v>45125</v>
      </c>
      <c r="B1428">
        <v>7.1588000000000003</v>
      </c>
    </row>
    <row r="1429" spans="1:2" x14ac:dyDescent="0.35">
      <c r="A1429" s="85">
        <v>45126</v>
      </c>
      <c r="B1429">
        <v>7.7076000000000002</v>
      </c>
    </row>
    <row r="1430" spans="1:2" x14ac:dyDescent="0.35">
      <c r="A1430" s="85">
        <v>45127</v>
      </c>
      <c r="B1430">
        <v>7.7675999999999998</v>
      </c>
    </row>
    <row r="1431" spans="1:2" x14ac:dyDescent="0.35">
      <c r="A1431" s="85">
        <v>45128</v>
      </c>
      <c r="B1431">
        <v>7.5010000000000003</v>
      </c>
    </row>
    <row r="1432" spans="1:2" x14ac:dyDescent="0.35">
      <c r="A1432" s="85">
        <v>45131</v>
      </c>
      <c r="B1432">
        <v>7.9863</v>
      </c>
    </row>
    <row r="1433" spans="1:2" x14ac:dyDescent="0.35">
      <c r="A1433" s="85">
        <v>45132</v>
      </c>
      <c r="B1433">
        <v>7.8917000000000002</v>
      </c>
    </row>
    <row r="1434" spans="1:2" x14ac:dyDescent="0.35">
      <c r="A1434" s="85">
        <v>45133</v>
      </c>
      <c r="B1434">
        <v>7.6750999999999996</v>
      </c>
    </row>
    <row r="1435" spans="1:2" x14ac:dyDescent="0.35">
      <c r="A1435" s="85">
        <v>45134</v>
      </c>
      <c r="B1435">
        <v>7.5385999999999997</v>
      </c>
    </row>
    <row r="1436" spans="1:2" x14ac:dyDescent="0.35">
      <c r="A1436" s="85">
        <v>45135</v>
      </c>
      <c r="B1436">
        <v>7.4569999999999999</v>
      </c>
    </row>
    <row r="1437" spans="1:2" x14ac:dyDescent="0.35">
      <c r="A1437" s="85">
        <v>45138</v>
      </c>
      <c r="B1437">
        <v>7.1910999999999996</v>
      </c>
    </row>
    <row r="1438" spans="1:2" x14ac:dyDescent="0.35">
      <c r="A1438" s="85">
        <v>45139</v>
      </c>
      <c r="B1438">
        <v>7.0891000000000002</v>
      </c>
    </row>
    <row r="1439" spans="1:2" x14ac:dyDescent="0.35">
      <c r="A1439" s="85">
        <v>45140</v>
      </c>
      <c r="B1439">
        <v>6.9627999999999997</v>
      </c>
    </row>
    <row r="1440" spans="1:2" x14ac:dyDescent="0.35">
      <c r="A1440" s="85">
        <v>45141</v>
      </c>
      <c r="B1440">
        <v>6.9145000000000003</v>
      </c>
    </row>
    <row r="1441" spans="1:2" x14ac:dyDescent="0.35">
      <c r="A1441" s="85">
        <v>45142</v>
      </c>
      <c r="B1441">
        <v>7.0456000000000003</v>
      </c>
    </row>
    <row r="1442" spans="1:2" x14ac:dyDescent="0.35">
      <c r="A1442" s="85">
        <v>45145</v>
      </c>
      <c r="B1442">
        <v>7.1718999999999999</v>
      </c>
    </row>
    <row r="1443" spans="1:2" x14ac:dyDescent="0.35">
      <c r="A1443" s="85">
        <v>45146</v>
      </c>
      <c r="B1443">
        <v>7.2991000000000001</v>
      </c>
    </row>
    <row r="1444" spans="1:2" x14ac:dyDescent="0.35">
      <c r="A1444" s="85">
        <v>45147</v>
      </c>
      <c r="B1444">
        <v>7.2222</v>
      </c>
    </row>
    <row r="1445" spans="1:2" x14ac:dyDescent="0.35">
      <c r="A1445" s="85">
        <v>45148</v>
      </c>
      <c r="B1445">
        <v>7.0922000000000001</v>
      </c>
    </row>
    <row r="1446" spans="1:2" x14ac:dyDescent="0.35">
      <c r="A1446" s="85">
        <v>45149</v>
      </c>
      <c r="B1446">
        <v>7.0731999999999999</v>
      </c>
    </row>
    <row r="1447" spans="1:2" x14ac:dyDescent="0.35">
      <c r="A1447" s="85">
        <v>45152</v>
      </c>
      <c r="B1447">
        <v>6.8428000000000004</v>
      </c>
    </row>
    <row r="1448" spans="1:2" x14ac:dyDescent="0.35">
      <c r="A1448" s="85">
        <v>45153</v>
      </c>
      <c r="B1448">
        <v>6.7363999999999997</v>
      </c>
    </row>
    <row r="1449" spans="1:2" x14ac:dyDescent="0.35">
      <c r="A1449" s="85">
        <v>45154</v>
      </c>
      <c r="B1449">
        <v>6.7980999999999998</v>
      </c>
    </row>
    <row r="1450" spans="1:2" x14ac:dyDescent="0.35">
      <c r="A1450" s="85">
        <v>45155</v>
      </c>
      <c r="B1450">
        <v>6.7702999999999998</v>
      </c>
    </row>
    <row r="1451" spans="1:2" x14ac:dyDescent="0.35">
      <c r="A1451" s="85">
        <v>45156</v>
      </c>
      <c r="B1451">
        <v>6.9081000000000001</v>
      </c>
    </row>
    <row r="1452" spans="1:2" x14ac:dyDescent="0.35">
      <c r="A1452" s="85">
        <v>45159</v>
      </c>
      <c r="B1452">
        <v>6.7784000000000004</v>
      </c>
    </row>
    <row r="1453" spans="1:2" x14ac:dyDescent="0.35">
      <c r="A1453" s="85">
        <v>45160</v>
      </c>
      <c r="B1453">
        <v>6.7374999999999998</v>
      </c>
    </row>
    <row r="1454" spans="1:2" x14ac:dyDescent="0.35">
      <c r="A1454" s="85">
        <v>45161</v>
      </c>
      <c r="B1454">
        <v>6.8373999999999997</v>
      </c>
    </row>
    <row r="1455" spans="1:2" x14ac:dyDescent="0.35">
      <c r="A1455" s="85">
        <v>45162</v>
      </c>
      <c r="B1455">
        <v>6.9040999999999997</v>
      </c>
    </row>
    <row r="1456" spans="1:2" x14ac:dyDescent="0.35">
      <c r="A1456" s="85">
        <v>45163</v>
      </c>
      <c r="B1456">
        <v>6.8399000000000001</v>
      </c>
    </row>
    <row r="1457" spans="1:2" x14ac:dyDescent="0.35">
      <c r="A1457" s="85">
        <v>45166</v>
      </c>
      <c r="B1457">
        <v>6.7244000000000002</v>
      </c>
    </row>
    <row r="1458" spans="1:2" x14ac:dyDescent="0.35">
      <c r="A1458" s="85">
        <v>45167</v>
      </c>
      <c r="B1458">
        <v>6.6679000000000004</v>
      </c>
    </row>
    <row r="1459" spans="1:2" x14ac:dyDescent="0.35">
      <c r="A1459" s="85">
        <v>45168</v>
      </c>
      <c r="B1459">
        <v>6.7735000000000003</v>
      </c>
    </row>
    <row r="1460" spans="1:2" x14ac:dyDescent="0.35">
      <c r="A1460" s="85">
        <v>45169</v>
      </c>
      <c r="B1460">
        <v>6.6268000000000002</v>
      </c>
    </row>
    <row r="1461" spans="1:2" x14ac:dyDescent="0.35">
      <c r="A1461" s="85">
        <v>45170</v>
      </c>
      <c r="B1461">
        <v>6.4941000000000004</v>
      </c>
    </row>
    <row r="1462" spans="1:2" x14ac:dyDescent="0.35">
      <c r="A1462" s="85">
        <v>45173</v>
      </c>
      <c r="B1462">
        <v>6.4486999999999997</v>
      </c>
    </row>
    <row r="1463" spans="1:2" x14ac:dyDescent="0.35">
      <c r="A1463" s="85">
        <v>45174</v>
      </c>
      <c r="B1463">
        <v>6.3418000000000001</v>
      </c>
    </row>
    <row r="1464" spans="1:2" x14ac:dyDescent="0.35">
      <c r="A1464" s="85">
        <v>45175</v>
      </c>
      <c r="B1464">
        <v>6.2968999999999999</v>
      </c>
    </row>
    <row r="1465" spans="1:2" x14ac:dyDescent="0.35">
      <c r="A1465" s="85">
        <v>45176</v>
      </c>
      <c r="B1465">
        <v>6.3895999999999997</v>
      </c>
    </row>
    <row r="1466" spans="1:2" x14ac:dyDescent="0.35">
      <c r="A1466" s="85">
        <v>45177</v>
      </c>
      <c r="B1466">
        <v>6.2766999999999999</v>
      </c>
    </row>
    <row r="1467" spans="1:2" x14ac:dyDescent="0.35">
      <c r="A1467" s="85">
        <v>45180</v>
      </c>
      <c r="B1467">
        <v>5.9762000000000004</v>
      </c>
    </row>
    <row r="1468" spans="1:2" x14ac:dyDescent="0.35">
      <c r="A1468" s="85">
        <v>45181</v>
      </c>
      <c r="B1468">
        <v>6.8066000000000004</v>
      </c>
    </row>
    <row r="1469" spans="1:2" x14ac:dyDescent="0.35">
      <c r="A1469" s="85">
        <v>45182</v>
      </c>
      <c r="B1469">
        <v>6.9745999999999997</v>
      </c>
    </row>
    <row r="1470" spans="1:2" x14ac:dyDescent="0.35">
      <c r="A1470" s="85">
        <v>45183</v>
      </c>
      <c r="B1470">
        <v>7.0018000000000002</v>
      </c>
    </row>
    <row r="1471" spans="1:2" x14ac:dyDescent="0.35">
      <c r="A1471" s="85">
        <v>45184</v>
      </c>
      <c r="B1471">
        <v>7.0750000000000002</v>
      </c>
    </row>
    <row r="1472" spans="1:2" x14ac:dyDescent="0.35">
      <c r="A1472" s="85">
        <v>45187</v>
      </c>
      <c r="B1472">
        <v>6.9268000000000001</v>
      </c>
    </row>
    <row r="1473" spans="1:2" x14ac:dyDescent="0.35">
      <c r="A1473" s="85">
        <v>45188</v>
      </c>
      <c r="B1473">
        <v>6.8840000000000003</v>
      </c>
    </row>
    <row r="1474" spans="1:2" x14ac:dyDescent="0.35">
      <c r="A1474" s="85">
        <v>45189</v>
      </c>
      <c r="B1474">
        <v>6.9127999999999998</v>
      </c>
    </row>
    <row r="1475" spans="1:2" x14ac:dyDescent="0.35">
      <c r="A1475" s="85">
        <v>45190</v>
      </c>
      <c r="B1475">
        <v>6.8474000000000004</v>
      </c>
    </row>
    <row r="1476" spans="1:2" x14ac:dyDescent="0.35">
      <c r="A1476" s="85">
        <v>45191</v>
      </c>
      <c r="B1476">
        <v>6.8284000000000002</v>
      </c>
    </row>
    <row r="1477" spans="1:2" x14ac:dyDescent="0.35">
      <c r="A1477" s="85">
        <v>45194</v>
      </c>
      <c r="B1477">
        <v>6.9196999999999997</v>
      </c>
    </row>
    <row r="1478" spans="1:2" x14ac:dyDescent="0.35">
      <c r="A1478" s="85">
        <v>45195</v>
      </c>
      <c r="B1478">
        <v>6.9119000000000002</v>
      </c>
    </row>
    <row r="1479" spans="1:2" x14ac:dyDescent="0.35">
      <c r="A1479" s="85">
        <v>45196</v>
      </c>
      <c r="B1479">
        <v>6.8895</v>
      </c>
    </row>
    <row r="1480" spans="1:2" x14ac:dyDescent="0.35">
      <c r="A1480" s="85">
        <v>45197</v>
      </c>
      <c r="B1480">
        <v>6.8773</v>
      </c>
    </row>
    <row r="1481" spans="1:2" x14ac:dyDescent="0.35">
      <c r="A1481" s="85">
        <v>45198</v>
      </c>
      <c r="B1481">
        <v>6.7868000000000004</v>
      </c>
    </row>
    <row r="1482" spans="1:2" x14ac:dyDescent="0.35">
      <c r="A1482" s="85">
        <v>45201</v>
      </c>
      <c r="B1482">
        <v>6.6151999999999997</v>
      </c>
    </row>
    <row r="1483" spans="1:2" x14ac:dyDescent="0.35">
      <c r="A1483" s="85">
        <v>45202</v>
      </c>
      <c r="B1483">
        <v>6.7389999999999999</v>
      </c>
    </row>
    <row r="1484" spans="1:2" x14ac:dyDescent="0.35">
      <c r="A1484" s="85">
        <v>45203</v>
      </c>
      <c r="B1484">
        <v>6.6841999999999997</v>
      </c>
    </row>
    <row r="1485" spans="1:2" x14ac:dyDescent="0.35">
      <c r="A1485" s="85">
        <v>45204</v>
      </c>
      <c r="B1485">
        <v>6.7676999999999996</v>
      </c>
    </row>
    <row r="1486" spans="1:2" x14ac:dyDescent="0.35">
      <c r="A1486" s="85">
        <v>45205</v>
      </c>
      <c r="B1486">
        <v>6.7507000000000001</v>
      </c>
    </row>
    <row r="1487" spans="1:2" x14ac:dyDescent="0.35">
      <c r="A1487" s="85">
        <v>45208</v>
      </c>
      <c r="B1487">
        <v>6.8372999999999999</v>
      </c>
    </row>
    <row r="1488" spans="1:2" x14ac:dyDescent="0.35">
      <c r="A1488" s="85">
        <v>45209</v>
      </c>
      <c r="B1488">
        <v>6.7549999999999999</v>
      </c>
    </row>
    <row r="1489" spans="1:2" x14ac:dyDescent="0.35">
      <c r="A1489" s="85">
        <v>45210</v>
      </c>
      <c r="B1489">
        <v>6.6718999999999999</v>
      </c>
    </row>
    <row r="1490" spans="1:2" x14ac:dyDescent="0.35">
      <c r="A1490" s="85">
        <v>45211</v>
      </c>
      <c r="B1490">
        <v>6.6961000000000004</v>
      </c>
    </row>
    <row r="1491" spans="1:2" x14ac:dyDescent="0.35">
      <c r="A1491" s="85">
        <v>45212</v>
      </c>
      <c r="B1491">
        <v>6.7888000000000002</v>
      </c>
    </row>
    <row r="1492" spans="1:2" x14ac:dyDescent="0.35">
      <c r="A1492" s="85">
        <v>45215</v>
      </c>
      <c r="B1492">
        <v>6.8074000000000003</v>
      </c>
    </row>
    <row r="1493" spans="1:2" x14ac:dyDescent="0.35">
      <c r="A1493" s="85">
        <v>45216</v>
      </c>
      <c r="B1493">
        <v>6.7922000000000002</v>
      </c>
    </row>
    <row r="1494" spans="1:2" x14ac:dyDescent="0.35">
      <c r="A1494" s="85">
        <v>45217</v>
      </c>
      <c r="B1494">
        <v>6.8967999999999998</v>
      </c>
    </row>
    <row r="1495" spans="1:2" x14ac:dyDescent="0.35">
      <c r="A1495" s="85">
        <v>45218</v>
      </c>
      <c r="B1495">
        <v>6.8555999999999999</v>
      </c>
    </row>
    <row r="1496" spans="1:2" x14ac:dyDescent="0.35">
      <c r="A1496" s="85">
        <v>45219</v>
      </c>
      <c r="B1496">
        <v>6.9353999999999996</v>
      </c>
    </row>
    <row r="1497" spans="1:2" x14ac:dyDescent="0.35">
      <c r="A1497" s="85">
        <v>45222</v>
      </c>
      <c r="B1497">
        <v>6.8955000000000002</v>
      </c>
    </row>
    <row r="1498" spans="1:2" x14ac:dyDescent="0.35">
      <c r="A1498" s="85">
        <v>45223</v>
      </c>
      <c r="B1498">
        <v>6.7557999999999998</v>
      </c>
    </row>
    <row r="1499" spans="1:2" x14ac:dyDescent="0.35">
      <c r="A1499" s="85">
        <v>45224</v>
      </c>
      <c r="B1499">
        <v>6.6666999999999996</v>
      </c>
    </row>
    <row r="1500" spans="1:2" x14ac:dyDescent="0.35">
      <c r="A1500" s="85">
        <v>45225</v>
      </c>
      <c r="B1500">
        <v>6.7203999999999997</v>
      </c>
    </row>
    <row r="1501" spans="1:2" x14ac:dyDescent="0.35">
      <c r="A1501" s="85">
        <v>45226</v>
      </c>
      <c r="B1501">
        <v>6.6786000000000003</v>
      </c>
    </row>
    <row r="1502" spans="1:2" x14ac:dyDescent="0.35">
      <c r="A1502" s="85">
        <v>45229</v>
      </c>
      <c r="B1502">
        <v>6.6957000000000004</v>
      </c>
    </row>
    <row r="1503" spans="1:2" x14ac:dyDescent="0.35">
      <c r="A1503" s="85">
        <v>45230</v>
      </c>
      <c r="B1503">
        <v>6.6063999999999998</v>
      </c>
    </row>
    <row r="1504" spans="1:2" x14ac:dyDescent="0.35">
      <c r="A1504" s="85">
        <v>45231</v>
      </c>
      <c r="B1504">
        <v>6.6599000000000004</v>
      </c>
    </row>
    <row r="1505" spans="1:2" x14ac:dyDescent="0.35">
      <c r="A1505" s="85">
        <v>45232</v>
      </c>
      <c r="B1505">
        <v>6.718</v>
      </c>
    </row>
    <row r="1506" spans="1:2" x14ac:dyDescent="0.35">
      <c r="A1506" s="85">
        <v>45233</v>
      </c>
      <c r="B1506">
        <v>6.8205999999999998</v>
      </c>
    </row>
    <row r="1507" spans="1:2" x14ac:dyDescent="0.35">
      <c r="A1507" s="85">
        <v>45236</v>
      </c>
      <c r="B1507">
        <v>6.7759</v>
      </c>
    </row>
    <row r="1508" spans="1:2" x14ac:dyDescent="0.35">
      <c r="A1508" s="85">
        <v>45237</v>
      </c>
      <c r="B1508">
        <v>6.7638999999999996</v>
      </c>
    </row>
    <row r="1509" spans="1:2" x14ac:dyDescent="0.35">
      <c r="A1509" s="85">
        <v>45238</v>
      </c>
      <c r="B1509">
        <v>6.8611000000000004</v>
      </c>
    </row>
    <row r="1510" spans="1:2" x14ac:dyDescent="0.35">
      <c r="A1510" s="85">
        <v>45239</v>
      </c>
      <c r="B1510">
        <v>6.7679999999999998</v>
      </c>
    </row>
    <row r="1511" spans="1:2" x14ac:dyDescent="0.35">
      <c r="A1511" s="85">
        <v>45240</v>
      </c>
      <c r="B1511">
        <v>6.7531999999999996</v>
      </c>
    </row>
    <row r="1512" spans="1:2" x14ac:dyDescent="0.35">
      <c r="A1512" s="85">
        <v>45243</v>
      </c>
      <c r="B1512">
        <v>6.8148999999999997</v>
      </c>
    </row>
    <row r="1513" spans="1:2" x14ac:dyDescent="0.35">
      <c r="A1513" s="85">
        <v>45244</v>
      </c>
      <c r="B1513">
        <v>6.8536000000000001</v>
      </c>
    </row>
    <row r="1514" spans="1:2" x14ac:dyDescent="0.35">
      <c r="A1514" s="85">
        <v>45245</v>
      </c>
      <c r="B1514">
        <v>6.7240000000000002</v>
      </c>
    </row>
    <row r="1515" spans="1:2" x14ac:dyDescent="0.35">
      <c r="A1515" s="85">
        <v>45246</v>
      </c>
      <c r="B1515">
        <v>6.6612</v>
      </c>
    </row>
    <row r="1516" spans="1:2" x14ac:dyDescent="0.35">
      <c r="A1516" s="85">
        <v>45247</v>
      </c>
      <c r="B1516">
        <v>6.7321</v>
      </c>
    </row>
    <row r="1517" spans="1:2" x14ac:dyDescent="0.35">
      <c r="A1517" s="85">
        <v>45250</v>
      </c>
      <c r="B1517">
        <v>6.6761999999999997</v>
      </c>
    </row>
    <row r="1518" spans="1:2" x14ac:dyDescent="0.35">
      <c r="A1518" s="85">
        <v>45254</v>
      </c>
      <c r="B1518">
        <v>6.5171999999999999</v>
      </c>
    </row>
    <row r="1519" spans="1:2" x14ac:dyDescent="0.35">
      <c r="A1519" s="85">
        <v>45257</v>
      </c>
      <c r="B1519">
        <v>6.5129999999999999</v>
      </c>
    </row>
    <row r="1520" spans="1:2" x14ac:dyDescent="0.35">
      <c r="A1520" s="85">
        <v>45258</v>
      </c>
      <c r="B1520">
        <v>6.3689</v>
      </c>
    </row>
    <row r="1521" spans="1:2" x14ac:dyDescent="0.35">
      <c r="A1521" s="85">
        <v>45259</v>
      </c>
      <c r="B1521">
        <v>6.4387999999999996</v>
      </c>
    </row>
    <row r="1522" spans="1:2" x14ac:dyDescent="0.35">
      <c r="A1522" s="85">
        <v>45260</v>
      </c>
      <c r="B1522">
        <v>6.5563000000000002</v>
      </c>
    </row>
    <row r="1523" spans="1:2" x14ac:dyDescent="0.35">
      <c r="A1523" s="85">
        <v>45261</v>
      </c>
      <c r="B1523">
        <v>6.5529000000000002</v>
      </c>
    </row>
    <row r="1524" spans="1:2" x14ac:dyDescent="0.35">
      <c r="A1524" s="85">
        <v>45264</v>
      </c>
      <c r="B1524">
        <v>6.6017999999999999</v>
      </c>
    </row>
    <row r="1525" spans="1:2" x14ac:dyDescent="0.35">
      <c r="A1525" s="85">
        <v>45265</v>
      </c>
      <c r="B1525">
        <v>6.6151</v>
      </c>
    </row>
    <row r="1526" spans="1:2" x14ac:dyDescent="0.35">
      <c r="A1526" s="85">
        <v>45266</v>
      </c>
      <c r="B1526">
        <v>6.3227000000000002</v>
      </c>
    </row>
    <row r="1527" spans="1:2" x14ac:dyDescent="0.35">
      <c r="A1527" s="85">
        <v>45267</v>
      </c>
      <c r="B1527">
        <v>6.4063999999999997</v>
      </c>
    </row>
    <row r="1528" spans="1:2" x14ac:dyDescent="0.35">
      <c r="A1528" s="85">
        <v>45268</v>
      </c>
      <c r="B1528">
        <v>6.335</v>
      </c>
    </row>
    <row r="1529" spans="1:2" x14ac:dyDescent="0.35">
      <c r="A1529" s="85">
        <v>45271</v>
      </c>
      <c r="B1529">
        <v>6.5639000000000003</v>
      </c>
    </row>
    <row r="1530" spans="1:2" x14ac:dyDescent="0.35">
      <c r="A1530" s="85">
        <v>45272</v>
      </c>
      <c r="B1530">
        <v>6.8105000000000002</v>
      </c>
    </row>
    <row r="1531" spans="1:2" x14ac:dyDescent="0.35">
      <c r="A1531" s="85">
        <v>45273</v>
      </c>
      <c r="B1531">
        <v>6.7290000000000001</v>
      </c>
    </row>
    <row r="1532" spans="1:2" x14ac:dyDescent="0.35">
      <c r="A1532" s="85">
        <v>45274</v>
      </c>
      <c r="B1532">
        <v>6.6729000000000003</v>
      </c>
    </row>
    <row r="1533" spans="1:2" x14ac:dyDescent="0.35">
      <c r="A1533" s="85">
        <v>45275</v>
      </c>
      <c r="B1533">
        <v>6.6128999999999998</v>
      </c>
    </row>
    <row r="1534" spans="1:2" x14ac:dyDescent="0.35">
      <c r="A1534" s="85">
        <v>45278</v>
      </c>
      <c r="B1534">
        <v>6.6435000000000004</v>
      </c>
    </row>
    <row r="1535" spans="1:2" x14ac:dyDescent="0.35">
      <c r="A1535" s="85">
        <v>45279</v>
      </c>
      <c r="B1535">
        <v>6.6737000000000002</v>
      </c>
    </row>
    <row r="1536" spans="1:2" x14ac:dyDescent="0.35">
      <c r="A1536" s="85">
        <v>45280</v>
      </c>
      <c r="B1536">
        <v>6.6345000000000001</v>
      </c>
    </row>
    <row r="1537" spans="1:2" x14ac:dyDescent="0.35">
      <c r="A1537" s="85">
        <v>45281</v>
      </c>
      <c r="B1537">
        <v>6.6527000000000003</v>
      </c>
    </row>
    <row r="1538" spans="1:2" x14ac:dyDescent="0.35">
      <c r="A1538" s="85">
        <v>45282</v>
      </c>
      <c r="B1538">
        <v>6.6458000000000004</v>
      </c>
    </row>
    <row r="1539" spans="1:2" x14ac:dyDescent="0.35">
      <c r="A1539" s="85">
        <v>45285</v>
      </c>
      <c r="B1539">
        <v>6.6470000000000002</v>
      </c>
    </row>
    <row r="1540" spans="1:2" x14ac:dyDescent="0.35">
      <c r="A1540" s="85">
        <v>45286</v>
      </c>
      <c r="B1540">
        <v>6.6638999999999999</v>
      </c>
    </row>
    <row r="1541" spans="1:2" x14ac:dyDescent="0.35">
      <c r="A1541" s="85">
        <v>45287</v>
      </c>
      <c r="B1541">
        <v>6.6862000000000004</v>
      </c>
    </row>
    <row r="1542" spans="1:2" x14ac:dyDescent="0.35">
      <c r="A1542" s="85">
        <v>45288</v>
      </c>
      <c r="B1542">
        <v>6.6696</v>
      </c>
    </row>
    <row r="1543" spans="1:2" x14ac:dyDescent="0.35">
      <c r="A1543" s="85">
        <v>45289</v>
      </c>
      <c r="B1543">
        <v>6.6909000000000001</v>
      </c>
    </row>
    <row r="1544" spans="1:2" x14ac:dyDescent="0.35">
      <c r="A1544" s="85">
        <v>45292</v>
      </c>
      <c r="B1544">
        <v>6.6951999999999998</v>
      </c>
    </row>
    <row r="1545" spans="1:2" x14ac:dyDescent="0.35">
      <c r="A1545" s="85">
        <v>45293</v>
      </c>
      <c r="B1545">
        <v>6.5731999999999999</v>
      </c>
    </row>
    <row r="1546" spans="1:2" x14ac:dyDescent="0.35">
      <c r="A1546" s="85">
        <v>45294</v>
      </c>
      <c r="B1546">
        <v>6.5178000000000003</v>
      </c>
    </row>
    <row r="1547" spans="1:2" x14ac:dyDescent="0.35">
      <c r="A1547" s="85">
        <v>45295</v>
      </c>
      <c r="B1547">
        <v>6.5860000000000003</v>
      </c>
    </row>
    <row r="1548" spans="1:2" x14ac:dyDescent="0.35">
      <c r="A1548" s="85">
        <v>45296</v>
      </c>
      <c r="B1548">
        <v>6.5811999999999999</v>
      </c>
    </row>
    <row r="1549" spans="1:2" x14ac:dyDescent="0.35">
      <c r="A1549" s="85">
        <v>45299</v>
      </c>
      <c r="B1549">
        <v>6.5046999999999997</v>
      </c>
    </row>
    <row r="1550" spans="1:2" x14ac:dyDescent="0.35">
      <c r="A1550" s="85">
        <v>45300</v>
      </c>
      <c r="B1550">
        <v>6.5293999999999999</v>
      </c>
    </row>
    <row r="1551" spans="1:2" x14ac:dyDescent="0.35">
      <c r="A1551" s="85">
        <v>45301</v>
      </c>
      <c r="B1551">
        <v>6.6142000000000003</v>
      </c>
    </row>
    <row r="1552" spans="1:2" x14ac:dyDescent="0.35">
      <c r="A1552" s="85">
        <v>45302</v>
      </c>
      <c r="B1552">
        <v>6.5258000000000003</v>
      </c>
    </row>
    <row r="1553" spans="1:2" x14ac:dyDescent="0.35">
      <c r="A1553" s="85">
        <v>45303</v>
      </c>
      <c r="B1553">
        <v>6.4382000000000001</v>
      </c>
    </row>
    <row r="1554" spans="1:2" x14ac:dyDescent="0.35">
      <c r="A1554" s="85">
        <v>45306</v>
      </c>
      <c r="B1554">
        <v>6.4593999999999996</v>
      </c>
    </row>
    <row r="1555" spans="1:2" x14ac:dyDescent="0.35">
      <c r="A1555" s="85">
        <v>45307</v>
      </c>
      <c r="B1555">
        <v>6.3571</v>
      </c>
    </row>
    <row r="1556" spans="1:2" x14ac:dyDescent="0.35">
      <c r="A1556" s="85">
        <v>45308</v>
      </c>
      <c r="B1556">
        <v>6.4119000000000002</v>
      </c>
    </row>
    <row r="1557" spans="1:2" x14ac:dyDescent="0.35">
      <c r="A1557" s="85">
        <v>45309</v>
      </c>
      <c r="B1557">
        <v>6.4218999999999999</v>
      </c>
    </row>
    <row r="1558" spans="1:2" x14ac:dyDescent="0.35">
      <c r="A1558" s="85">
        <v>45310</v>
      </c>
      <c r="B1558">
        <v>6.4584000000000001</v>
      </c>
    </row>
    <row r="1559" spans="1:2" x14ac:dyDescent="0.35">
      <c r="A1559" s="85">
        <v>45313</v>
      </c>
      <c r="B1559">
        <v>6.4055999999999997</v>
      </c>
    </row>
    <row r="1560" spans="1:2" x14ac:dyDescent="0.35">
      <c r="A1560" s="85">
        <v>45314</v>
      </c>
      <c r="B1560">
        <v>6.4329000000000001</v>
      </c>
    </row>
    <row r="1561" spans="1:2" x14ac:dyDescent="0.35">
      <c r="A1561" s="85">
        <v>45315</v>
      </c>
      <c r="B1561">
        <v>6.4370000000000003</v>
      </c>
    </row>
    <row r="1562" spans="1:2" x14ac:dyDescent="0.35">
      <c r="A1562" s="85">
        <v>45316</v>
      </c>
      <c r="B1562">
        <v>6.4428999999999998</v>
      </c>
    </row>
    <row r="1563" spans="1:2" x14ac:dyDescent="0.35">
      <c r="A1563" s="85">
        <v>45317</v>
      </c>
      <c r="B1563">
        <v>6.3357000000000001</v>
      </c>
    </row>
    <row r="1564" spans="1:2" x14ac:dyDescent="0.35">
      <c r="A1564" s="85">
        <v>45320</v>
      </c>
      <c r="B1564">
        <v>6.2945000000000002</v>
      </c>
    </row>
    <row r="1565" spans="1:2" x14ac:dyDescent="0.35">
      <c r="A1565" s="85">
        <v>45321</v>
      </c>
      <c r="B1565">
        <v>6.3083</v>
      </c>
    </row>
    <row r="1566" spans="1:2" x14ac:dyDescent="0.35">
      <c r="A1566" s="85">
        <v>45322</v>
      </c>
      <c r="B1566">
        <v>6.2115999999999998</v>
      </c>
    </row>
    <row r="1567" spans="1:2" x14ac:dyDescent="0.35">
      <c r="A1567" s="85">
        <v>45323</v>
      </c>
      <c r="B1567">
        <v>6.2728000000000002</v>
      </c>
    </row>
    <row r="1568" spans="1:2" x14ac:dyDescent="0.35">
      <c r="A1568" s="85">
        <v>45324</v>
      </c>
      <c r="B1568">
        <v>6.2464000000000004</v>
      </c>
    </row>
    <row r="1569" spans="1:2" x14ac:dyDescent="0.35">
      <c r="A1569" s="85">
        <v>45327</v>
      </c>
      <c r="B1569">
        <v>6.1478000000000002</v>
      </c>
    </row>
    <row r="1570" spans="1:2" x14ac:dyDescent="0.35">
      <c r="A1570" s="85">
        <v>45328</v>
      </c>
      <c r="B1570">
        <v>6.1608000000000001</v>
      </c>
    </row>
    <row r="1571" spans="1:2" x14ac:dyDescent="0.35">
      <c r="A1571" s="85">
        <v>45329</v>
      </c>
      <c r="B1571">
        <v>6.1276999999999999</v>
      </c>
    </row>
    <row r="1572" spans="1:2" x14ac:dyDescent="0.35">
      <c r="A1572" s="85">
        <v>45330</v>
      </c>
      <c r="B1572">
        <v>6.02</v>
      </c>
    </row>
    <row r="1573" spans="1:2" x14ac:dyDescent="0.35">
      <c r="A1573" s="85">
        <v>45331</v>
      </c>
      <c r="B1573">
        <v>6.1334</v>
      </c>
    </row>
    <row r="1574" spans="1:2" x14ac:dyDescent="0.35">
      <c r="A1574" s="85">
        <v>45334</v>
      </c>
      <c r="B1574">
        <v>6.1063000000000001</v>
      </c>
    </row>
    <row r="1575" spans="1:2" x14ac:dyDescent="0.35">
      <c r="A1575" s="85">
        <v>45335</v>
      </c>
      <c r="B1575">
        <v>6.093</v>
      </c>
    </row>
    <row r="1576" spans="1:2" x14ac:dyDescent="0.35">
      <c r="A1576" s="85">
        <v>45336</v>
      </c>
      <c r="B1576">
        <v>6.0583</v>
      </c>
    </row>
    <row r="1577" spans="1:2" x14ac:dyDescent="0.35">
      <c r="A1577" s="85">
        <v>45337</v>
      </c>
      <c r="B1577">
        <v>6.0246000000000004</v>
      </c>
    </row>
    <row r="1578" spans="1:2" x14ac:dyDescent="0.35">
      <c r="A1578" s="85">
        <v>45338</v>
      </c>
      <c r="B1578">
        <v>5.9680999999999997</v>
      </c>
    </row>
    <row r="1579" spans="1:2" x14ac:dyDescent="0.35">
      <c r="A1579" s="85">
        <v>45341</v>
      </c>
      <c r="B1579">
        <v>5.8670999999999998</v>
      </c>
    </row>
    <row r="1580" spans="1:2" x14ac:dyDescent="0.35">
      <c r="A1580" s="85">
        <v>45342</v>
      </c>
      <c r="B1580">
        <v>6.0305</v>
      </c>
    </row>
    <row r="1581" spans="1:2" x14ac:dyDescent="0.35">
      <c r="A1581" s="85">
        <v>45343</v>
      </c>
      <c r="B1581">
        <v>5.9924999999999997</v>
      </c>
    </row>
    <row r="1582" spans="1:2" x14ac:dyDescent="0.35">
      <c r="A1582" s="85">
        <v>45344</v>
      </c>
      <c r="B1582">
        <v>6.1266999999999996</v>
      </c>
    </row>
    <row r="1583" spans="1:2" x14ac:dyDescent="0.35">
      <c r="A1583" s="85">
        <v>45345</v>
      </c>
      <c r="B1583">
        <v>6.0593000000000004</v>
      </c>
    </row>
    <row r="1584" spans="1:2" x14ac:dyDescent="0.35">
      <c r="A1584" s="85">
        <v>45348</v>
      </c>
      <c r="B1584">
        <v>5.9569000000000001</v>
      </c>
    </row>
    <row r="1585" spans="1:2" x14ac:dyDescent="0.35">
      <c r="A1585" s="85">
        <v>45349</v>
      </c>
      <c r="B1585">
        <v>5.9257</v>
      </c>
    </row>
    <row r="1586" spans="1:2" x14ac:dyDescent="0.35">
      <c r="A1586" s="85">
        <v>45350</v>
      </c>
      <c r="B1586">
        <v>5.7523</v>
      </c>
    </row>
    <row r="1587" spans="1:2" x14ac:dyDescent="0.35">
      <c r="A1587" s="85">
        <v>45351</v>
      </c>
      <c r="B1587">
        <v>5.6093000000000002</v>
      </c>
    </row>
    <row r="1588" spans="1:2" x14ac:dyDescent="0.35">
      <c r="A1588" s="85">
        <v>45352</v>
      </c>
      <c r="B1588">
        <v>5.4484000000000004</v>
      </c>
    </row>
    <row r="1589" spans="1:2" x14ac:dyDescent="0.35">
      <c r="A1589" s="85">
        <v>45355</v>
      </c>
      <c r="B1589">
        <v>5.6056999999999997</v>
      </c>
    </row>
    <row r="1590" spans="1:2" x14ac:dyDescent="0.35">
      <c r="A1590" s="85">
        <v>45356</v>
      </c>
      <c r="B1590">
        <v>5.4146999999999998</v>
      </c>
    </row>
    <row r="1591" spans="1:2" x14ac:dyDescent="0.35">
      <c r="A1591" s="85">
        <v>45357</v>
      </c>
      <c r="B1591">
        <v>5.3312999999999997</v>
      </c>
    </row>
    <row r="1592" spans="1:2" x14ac:dyDescent="0.35">
      <c r="A1592" s="85">
        <v>45358</v>
      </c>
      <c r="B1592">
        <v>5.6308999999999996</v>
      </c>
    </row>
    <row r="1593" spans="1:2" x14ac:dyDescent="0.35">
      <c r="A1593" s="85">
        <v>45359</v>
      </c>
      <c r="B1593">
        <v>5.4337</v>
      </c>
    </row>
    <row r="1594" spans="1:2" x14ac:dyDescent="0.35">
      <c r="A1594" s="85">
        <v>45362</v>
      </c>
      <c r="B1594">
        <v>5.8000999999999996</v>
      </c>
    </row>
    <row r="1595" spans="1:2" x14ac:dyDescent="0.35">
      <c r="A1595" s="85">
        <v>45363</v>
      </c>
      <c r="B1595">
        <v>5.8441000000000001</v>
      </c>
    </row>
    <row r="1596" spans="1:2" x14ac:dyDescent="0.35">
      <c r="A1596" s="85">
        <v>45364</v>
      </c>
      <c r="B1596">
        <v>5.7973999999999997</v>
      </c>
    </row>
    <row r="1597" spans="1:2" x14ac:dyDescent="0.35">
      <c r="A1597" s="85">
        <v>45365</v>
      </c>
      <c r="B1597">
        <v>5.7385999999999999</v>
      </c>
    </row>
    <row r="1598" spans="1:2" x14ac:dyDescent="0.35">
      <c r="A1598" s="85">
        <v>45366</v>
      </c>
      <c r="B1598">
        <v>5.7824999999999998</v>
      </c>
    </row>
    <row r="1599" spans="1:2" x14ac:dyDescent="0.35">
      <c r="A1599" s="85">
        <v>45369</v>
      </c>
      <c r="B1599">
        <v>5.8442999999999996</v>
      </c>
    </row>
    <row r="1600" spans="1:2" x14ac:dyDescent="0.35">
      <c r="A1600" s="85">
        <v>45370</v>
      </c>
      <c r="B1600">
        <v>5.9202000000000004</v>
      </c>
    </row>
    <row r="1601" spans="1:2" x14ac:dyDescent="0.35">
      <c r="A1601" s="85">
        <v>45371</v>
      </c>
      <c r="B1601">
        <v>5.9154</v>
      </c>
    </row>
    <row r="1602" spans="1:2" x14ac:dyDescent="0.35">
      <c r="A1602" s="85">
        <v>45372</v>
      </c>
      <c r="B1602">
        <v>5.9055</v>
      </c>
    </row>
    <row r="1603" spans="1:2" x14ac:dyDescent="0.35">
      <c r="A1603" s="85">
        <v>45373</v>
      </c>
      <c r="B1603">
        <v>6.0956000000000001</v>
      </c>
    </row>
    <row r="1604" spans="1:2" x14ac:dyDescent="0.35">
      <c r="A1604" s="85">
        <v>45376</v>
      </c>
      <c r="B1604">
        <v>6.0388000000000002</v>
      </c>
    </row>
    <row r="1605" spans="1:2" x14ac:dyDescent="0.35">
      <c r="A1605" s="85">
        <v>45377</v>
      </c>
      <c r="B1605">
        <v>5.9406999999999996</v>
      </c>
    </row>
    <row r="1606" spans="1:2" x14ac:dyDescent="0.35">
      <c r="A1606" s="85">
        <v>45378</v>
      </c>
      <c r="B1606">
        <v>5.9226999999999999</v>
      </c>
    </row>
    <row r="1607" spans="1:2" x14ac:dyDescent="0.35">
      <c r="A1607" s="85">
        <v>45379</v>
      </c>
      <c r="B1607">
        <v>5.9832000000000001</v>
      </c>
    </row>
    <row r="1608" spans="1:2" x14ac:dyDescent="0.35">
      <c r="A1608" s="85">
        <v>45380</v>
      </c>
      <c r="B1608">
        <v>5.9848999999999997</v>
      </c>
    </row>
    <row r="1609" spans="1:2" x14ac:dyDescent="0.35">
      <c r="A1609" s="85">
        <v>45383</v>
      </c>
      <c r="B1609">
        <v>5.9572000000000003</v>
      </c>
    </row>
    <row r="1610" spans="1:2" x14ac:dyDescent="0.35">
      <c r="A1610" s="85">
        <v>45384</v>
      </c>
      <c r="B1610">
        <v>5.9146000000000001</v>
      </c>
    </row>
    <row r="1611" spans="1:2" x14ac:dyDescent="0.35">
      <c r="A1611" s="85">
        <v>45385</v>
      </c>
      <c r="B1611">
        <v>5.9435000000000002</v>
      </c>
    </row>
    <row r="1612" spans="1:2" x14ac:dyDescent="0.35">
      <c r="A1612" s="85">
        <v>45386</v>
      </c>
      <c r="B1612">
        <v>5.8992000000000004</v>
      </c>
    </row>
    <row r="1613" spans="1:2" x14ac:dyDescent="0.35">
      <c r="A1613" s="85">
        <v>45387</v>
      </c>
      <c r="B1613">
        <v>6.0019</v>
      </c>
    </row>
    <row r="1614" spans="1:2" x14ac:dyDescent="0.35">
      <c r="A1614" s="85">
        <v>45390</v>
      </c>
      <c r="B1614">
        <v>6.0163000000000002</v>
      </c>
    </row>
    <row r="1615" spans="1:2" x14ac:dyDescent="0.35">
      <c r="A1615" s="85">
        <v>45391</v>
      </c>
      <c r="B1615">
        <v>5.9470999999999998</v>
      </c>
    </row>
    <row r="1616" spans="1:2" x14ac:dyDescent="0.35">
      <c r="A1616" s="85">
        <v>45392</v>
      </c>
      <c r="B1616">
        <v>5.9859</v>
      </c>
    </row>
    <row r="1617" spans="1:2" x14ac:dyDescent="0.35">
      <c r="A1617" s="85">
        <v>45393</v>
      </c>
      <c r="B1617">
        <v>5.9852999999999996</v>
      </c>
    </row>
    <row r="1618" spans="1:2" x14ac:dyDescent="0.35">
      <c r="A1618" s="85">
        <v>45394</v>
      </c>
      <c r="B1618">
        <v>5.8529</v>
      </c>
    </row>
    <row r="1619" spans="1:2" x14ac:dyDescent="0.35">
      <c r="A1619" s="85">
        <v>45397</v>
      </c>
      <c r="B1619">
        <v>5.8895</v>
      </c>
    </row>
    <row r="1620" spans="1:2" x14ac:dyDescent="0.35">
      <c r="A1620" s="85">
        <v>45398</v>
      </c>
      <c r="B1620">
        <v>5.8856000000000002</v>
      </c>
    </row>
    <row r="1621" spans="1:2" x14ac:dyDescent="0.35">
      <c r="A1621" s="85">
        <v>45399</v>
      </c>
      <c r="B1621">
        <v>5.8967999999999998</v>
      </c>
    </row>
    <row r="1622" spans="1:2" x14ac:dyDescent="0.35">
      <c r="A1622" s="85">
        <v>45400</v>
      </c>
      <c r="B1622">
        <v>5.9021999999999997</v>
      </c>
    </row>
    <row r="1623" spans="1:2" x14ac:dyDescent="0.35">
      <c r="A1623" s="85">
        <v>45401</v>
      </c>
      <c r="B1623">
        <v>5.9668999999999999</v>
      </c>
    </row>
    <row r="1624" spans="1:2" x14ac:dyDescent="0.35">
      <c r="A1624" s="85">
        <v>45404</v>
      </c>
      <c r="B1624">
        <v>5.9763999999999999</v>
      </c>
    </row>
    <row r="1625" spans="1:2" x14ac:dyDescent="0.35">
      <c r="A1625" s="85">
        <v>45405</v>
      </c>
      <c r="B1625">
        <v>6.2195</v>
      </c>
    </row>
    <row r="1626" spans="1:2" x14ac:dyDescent="0.35">
      <c r="A1626" s="85">
        <v>45406</v>
      </c>
      <c r="B1626">
        <v>6.0721999999999996</v>
      </c>
    </row>
    <row r="1627" spans="1:2" x14ac:dyDescent="0.35">
      <c r="A1627" s="85">
        <v>45407</v>
      </c>
      <c r="B1627">
        <v>6.0705</v>
      </c>
    </row>
    <row r="1628" spans="1:2" x14ac:dyDescent="0.35">
      <c r="A1628" s="85">
        <v>45408</v>
      </c>
      <c r="B1628">
        <v>6.0948000000000002</v>
      </c>
    </row>
    <row r="1629" spans="1:2" x14ac:dyDescent="0.35">
      <c r="A1629" s="85">
        <v>45411</v>
      </c>
      <c r="B1629">
        <v>6.1769999999999996</v>
      </c>
    </row>
    <row r="1630" spans="1:2" x14ac:dyDescent="0.35">
      <c r="A1630" s="85">
        <v>45412</v>
      </c>
      <c r="B1630">
        <v>5.9457000000000004</v>
      </c>
    </row>
    <row r="1631" spans="1:2" x14ac:dyDescent="0.35">
      <c r="A1631" s="85">
        <v>45413</v>
      </c>
      <c r="B1631">
        <v>5.9702999999999999</v>
      </c>
    </row>
    <row r="1632" spans="1:2" x14ac:dyDescent="0.35">
      <c r="A1632" s="85">
        <v>45414</v>
      </c>
      <c r="B1632">
        <v>5.9831000000000003</v>
      </c>
    </row>
    <row r="1633" spans="1:2" x14ac:dyDescent="0.35">
      <c r="A1633" s="85">
        <v>45415</v>
      </c>
      <c r="B1633">
        <v>6.1429</v>
      </c>
    </row>
    <row r="1634" spans="1:2" x14ac:dyDescent="0.35">
      <c r="A1634" s="85">
        <v>45418</v>
      </c>
      <c r="B1634">
        <v>6.2872000000000003</v>
      </c>
    </row>
    <row r="1635" spans="1:2" x14ac:dyDescent="0.35">
      <c r="A1635" s="85">
        <v>45419</v>
      </c>
      <c r="B1635">
        <v>6.1473000000000004</v>
      </c>
    </row>
    <row r="1636" spans="1:2" x14ac:dyDescent="0.35">
      <c r="A1636" s="85">
        <v>45420</v>
      </c>
      <c r="B1636">
        <v>6.0978000000000003</v>
      </c>
    </row>
    <row r="1637" spans="1:2" x14ac:dyDescent="0.35">
      <c r="A1637" s="85">
        <v>45421</v>
      </c>
      <c r="B1637">
        <v>6.3822999999999999</v>
      </c>
    </row>
    <row r="1638" spans="1:2" x14ac:dyDescent="0.35">
      <c r="A1638" s="85">
        <v>45422</v>
      </c>
      <c r="B1638">
        <v>6.4790000000000001</v>
      </c>
    </row>
    <row r="1639" spans="1:2" x14ac:dyDescent="0.35">
      <c r="A1639" s="85">
        <v>45425</v>
      </c>
      <c r="B1639">
        <v>7.5857999999999999</v>
      </c>
    </row>
    <row r="1640" spans="1:2" x14ac:dyDescent="0.35">
      <c r="A1640" s="85">
        <v>45426</v>
      </c>
      <c r="B1640">
        <v>7.3437000000000001</v>
      </c>
    </row>
    <row r="1641" spans="1:2" x14ac:dyDescent="0.35">
      <c r="A1641" s="85">
        <v>45427</v>
      </c>
      <c r="B1641">
        <v>7.4383999999999997</v>
      </c>
    </row>
    <row r="1642" spans="1:2" x14ac:dyDescent="0.35">
      <c r="A1642" s="85">
        <v>45428</v>
      </c>
      <c r="B1642">
        <v>7.3567999999999998</v>
      </c>
    </row>
    <row r="1643" spans="1:2" x14ac:dyDescent="0.35">
      <c r="A1643" s="85">
        <v>45429</v>
      </c>
      <c r="B1643">
        <v>7.2996999999999996</v>
      </c>
    </row>
    <row r="1644" spans="1:2" x14ac:dyDescent="0.35">
      <c r="A1644" s="85">
        <v>45432</v>
      </c>
      <c r="B1644">
        <v>7.5804</v>
      </c>
    </row>
    <row r="1645" spans="1:2" x14ac:dyDescent="0.35">
      <c r="A1645" s="85">
        <v>45433</v>
      </c>
      <c r="B1645">
        <v>7.5998000000000001</v>
      </c>
    </row>
    <row r="1646" spans="1:2" x14ac:dyDescent="0.35">
      <c r="A1646" s="85">
        <v>45434</v>
      </c>
      <c r="B1646">
        <v>7.6444000000000001</v>
      </c>
    </row>
    <row r="1647" spans="1:2" x14ac:dyDescent="0.35">
      <c r="A1647" s="85">
        <v>45435</v>
      </c>
      <c r="B1647">
        <v>7.5998000000000001</v>
      </c>
    </row>
    <row r="1648" spans="1:2" x14ac:dyDescent="0.35">
      <c r="A1648" s="85">
        <v>45436</v>
      </c>
      <c r="B1648">
        <v>7.7122999999999999</v>
      </c>
    </row>
    <row r="1649" spans="1:2" x14ac:dyDescent="0.35">
      <c r="A1649" s="85">
        <v>45439</v>
      </c>
      <c r="B1649">
        <v>7.9490999999999996</v>
      </c>
    </row>
    <row r="1650" spans="1:2" x14ac:dyDescent="0.35">
      <c r="A1650" s="85">
        <v>45440</v>
      </c>
      <c r="B1650">
        <v>7.8250000000000002</v>
      </c>
    </row>
    <row r="1651" spans="1:2" x14ac:dyDescent="0.35">
      <c r="A1651" s="85">
        <v>45441</v>
      </c>
      <c r="B1651">
        <v>7.7404999999999999</v>
      </c>
    </row>
    <row r="1652" spans="1:2" x14ac:dyDescent="0.35">
      <c r="A1652" s="85">
        <v>45442</v>
      </c>
      <c r="B1652">
        <v>7.6360000000000001</v>
      </c>
    </row>
    <row r="1653" spans="1:2" x14ac:dyDescent="0.35">
      <c r="A1653" s="85">
        <v>45443</v>
      </c>
      <c r="B1653">
        <v>7.6561000000000003</v>
      </c>
    </row>
    <row r="1654" spans="1:2" x14ac:dyDescent="0.35">
      <c r="A1654" s="85">
        <v>45446</v>
      </c>
      <c r="B1654">
        <v>7.6638000000000002</v>
      </c>
    </row>
    <row r="1655" spans="1:2" x14ac:dyDescent="0.35">
      <c r="A1655" s="85">
        <v>45447</v>
      </c>
      <c r="B1655">
        <v>7.6623999999999999</v>
      </c>
    </row>
    <row r="1656" spans="1:2" x14ac:dyDescent="0.35">
      <c r="A1656" s="85">
        <v>45448</v>
      </c>
      <c r="B1656">
        <v>7.5168999999999997</v>
      </c>
    </row>
    <row r="1657" spans="1:2" x14ac:dyDescent="0.35">
      <c r="A1657" s="85">
        <v>45449</v>
      </c>
      <c r="B1657">
        <v>7.4398</v>
      </c>
    </row>
    <row r="1658" spans="1:2" x14ac:dyDescent="0.35">
      <c r="A1658" s="85">
        <v>45450</v>
      </c>
      <c r="B1658">
        <v>7.1657999999999999</v>
      </c>
    </row>
    <row r="1659" spans="1:2" x14ac:dyDescent="0.35">
      <c r="A1659" s="85">
        <v>45453</v>
      </c>
      <c r="B1659">
        <v>7.0160999999999998</v>
      </c>
    </row>
    <row r="1660" spans="1:2" x14ac:dyDescent="0.35">
      <c r="A1660" s="85">
        <v>45454</v>
      </c>
      <c r="B1660">
        <v>7.2064000000000004</v>
      </c>
    </row>
    <row r="1661" spans="1:2" x14ac:dyDescent="0.35">
      <c r="A1661" s="85">
        <v>45455</v>
      </c>
      <c r="B1661">
        <v>7.0393999999999997</v>
      </c>
    </row>
    <row r="1662" spans="1:2" x14ac:dyDescent="0.35">
      <c r="A1662" s="85">
        <v>45456</v>
      </c>
      <c r="B1662">
        <v>6.9553000000000003</v>
      </c>
    </row>
    <row r="1663" spans="1:2" x14ac:dyDescent="0.35">
      <c r="A1663" s="85">
        <v>45457</v>
      </c>
      <c r="B1663">
        <v>6.8962000000000003</v>
      </c>
    </row>
    <row r="1664" spans="1:2" x14ac:dyDescent="0.35">
      <c r="A1664" s="85">
        <v>45460</v>
      </c>
      <c r="B1664">
        <v>6.7161</v>
      </c>
    </row>
    <row r="1665" spans="1:2" x14ac:dyDescent="0.35">
      <c r="A1665" s="85">
        <v>45461</v>
      </c>
      <c r="B1665">
        <v>6.7008999999999999</v>
      </c>
    </row>
    <row r="1666" spans="1:2" x14ac:dyDescent="0.35">
      <c r="A1666" s="85">
        <v>45462</v>
      </c>
      <c r="B1666">
        <v>6.7278000000000002</v>
      </c>
    </row>
    <row r="1667" spans="1:2" x14ac:dyDescent="0.35">
      <c r="A1667" s="85">
        <v>45463</v>
      </c>
      <c r="B1667">
        <v>6.6062000000000003</v>
      </c>
    </row>
    <row r="1668" spans="1:2" x14ac:dyDescent="0.35">
      <c r="A1668" s="85">
        <v>45464</v>
      </c>
      <c r="B1668">
        <v>6.5406000000000004</v>
      </c>
    </row>
    <row r="1669" spans="1:2" x14ac:dyDescent="0.35">
      <c r="A1669" s="85">
        <v>45467</v>
      </c>
      <c r="B1669">
        <v>6.4852999999999996</v>
      </c>
    </row>
    <row r="1670" spans="1:2" x14ac:dyDescent="0.35">
      <c r="A1670" s="85">
        <v>45468</v>
      </c>
      <c r="B1670">
        <v>6.4440999999999997</v>
      </c>
    </row>
    <row r="1671" spans="1:2" x14ac:dyDescent="0.35">
      <c r="A1671" s="85">
        <v>45469</v>
      </c>
      <c r="B1671">
        <v>6.4969000000000001</v>
      </c>
    </row>
    <row r="1672" spans="1:2" x14ac:dyDescent="0.35">
      <c r="A1672" s="85">
        <v>45470</v>
      </c>
      <c r="B1672">
        <v>6.6128999999999998</v>
      </c>
    </row>
    <row r="1673" spans="1:2" x14ac:dyDescent="0.35">
      <c r="A1673" s="85">
        <v>45471</v>
      </c>
      <c r="B1673">
        <v>6.5316000000000001</v>
      </c>
    </row>
    <row r="1674" spans="1:2" x14ac:dyDescent="0.35">
      <c r="A1674" s="85">
        <v>45474</v>
      </c>
      <c r="B1674">
        <v>6.7573999999999996</v>
      </c>
    </row>
    <row r="1675" spans="1:2" x14ac:dyDescent="0.35">
      <c r="A1675" s="85">
        <v>45475</v>
      </c>
      <c r="B1675">
        <v>6.6235999999999997</v>
      </c>
    </row>
    <row r="1676" spans="1:2" x14ac:dyDescent="0.35">
      <c r="A1676" s="85">
        <v>45476</v>
      </c>
      <c r="B1676">
        <v>6.5608000000000004</v>
      </c>
    </row>
    <row r="1677" spans="1:2" x14ac:dyDescent="0.35">
      <c r="A1677" s="85">
        <v>45477</v>
      </c>
      <c r="B1677">
        <v>6.6207000000000003</v>
      </c>
    </row>
    <row r="1678" spans="1:2" x14ac:dyDescent="0.35">
      <c r="A1678" s="85">
        <v>45478</v>
      </c>
      <c r="B1678">
        <v>6.7404999999999999</v>
      </c>
    </row>
    <row r="1679" spans="1:2" x14ac:dyDescent="0.35">
      <c r="A1679" s="85">
        <v>45481</v>
      </c>
      <c r="B1679">
        <v>6.5255999999999998</v>
      </c>
    </row>
    <row r="1680" spans="1:2" x14ac:dyDescent="0.35">
      <c r="A1680" s="85">
        <v>45482</v>
      </c>
      <c r="B1680">
        <v>6.6372999999999998</v>
      </c>
    </row>
    <row r="1681" spans="1:2" x14ac:dyDescent="0.35">
      <c r="A1681" s="85">
        <v>45483</v>
      </c>
      <c r="B1681">
        <v>6.5003000000000002</v>
      </c>
    </row>
    <row r="1682" spans="1:2" x14ac:dyDescent="0.35">
      <c r="A1682" s="85">
        <v>45484</v>
      </c>
      <c r="B1682">
        <v>6.5872999999999999</v>
      </c>
    </row>
    <row r="1683" spans="1:2" x14ac:dyDescent="0.35">
      <c r="A1683" s="85">
        <v>45485</v>
      </c>
      <c r="B1683">
        <v>6.5231000000000003</v>
      </c>
    </row>
    <row r="1684" spans="1:2" x14ac:dyDescent="0.35">
      <c r="A1684" s="85">
        <v>45488</v>
      </c>
      <c r="B1684">
        <v>6.3169000000000004</v>
      </c>
    </row>
    <row r="1685" spans="1:2" x14ac:dyDescent="0.35">
      <c r="A1685" s="85">
        <v>45489</v>
      </c>
      <c r="B1685">
        <v>6.3556999999999997</v>
      </c>
    </row>
    <row r="1686" spans="1:2" x14ac:dyDescent="0.35">
      <c r="A1686" s="85">
        <v>45490</v>
      </c>
      <c r="B1686">
        <v>6.3944999999999999</v>
      </c>
    </row>
    <row r="1687" spans="1:2" x14ac:dyDescent="0.35">
      <c r="A1687" s="85">
        <v>45491</v>
      </c>
      <c r="B1687">
        <v>6.3860000000000001</v>
      </c>
    </row>
    <row r="1688" spans="1:2" x14ac:dyDescent="0.35">
      <c r="A1688" s="85">
        <v>45492</v>
      </c>
      <c r="B1688">
        <v>6.6112000000000002</v>
      </c>
    </row>
    <row r="1689" spans="1:2" x14ac:dyDescent="0.35">
      <c r="A1689" s="85">
        <v>45495</v>
      </c>
      <c r="B1689">
        <v>6.6839000000000004</v>
      </c>
    </row>
    <row r="1690" spans="1:2" x14ac:dyDescent="0.35">
      <c r="A1690" s="85">
        <v>45496</v>
      </c>
      <c r="B1690">
        <v>6.6471</v>
      </c>
    </row>
    <row r="1691" spans="1:2" x14ac:dyDescent="0.35">
      <c r="A1691" s="85">
        <v>45497</v>
      </c>
      <c r="B1691">
        <v>6.5720999999999998</v>
      </c>
    </row>
    <row r="1692" spans="1:2" x14ac:dyDescent="0.35">
      <c r="A1692" s="85">
        <v>45498</v>
      </c>
      <c r="B1692">
        <v>6.4816000000000003</v>
      </c>
    </row>
    <row r="1693" spans="1:2" x14ac:dyDescent="0.35">
      <c r="A1693" s="85">
        <v>45499</v>
      </c>
      <c r="B1693">
        <v>6.4137000000000004</v>
      </c>
    </row>
    <row r="1694" spans="1:2" x14ac:dyDescent="0.35">
      <c r="A1694" s="85">
        <v>45502</v>
      </c>
      <c r="B1694">
        <v>6.3537999999999997</v>
      </c>
    </row>
    <row r="1695" spans="1:2" x14ac:dyDescent="0.35">
      <c r="A1695" s="85">
        <v>45503</v>
      </c>
      <c r="B1695">
        <v>6.3293999999999997</v>
      </c>
    </row>
    <row r="1696" spans="1:2" x14ac:dyDescent="0.35">
      <c r="A1696" s="85">
        <v>45504</v>
      </c>
      <c r="B1696">
        <v>6.5119999999999996</v>
      </c>
    </row>
    <row r="1697" spans="1:2" x14ac:dyDescent="0.35">
      <c r="A1697" s="85">
        <v>45505</v>
      </c>
      <c r="B1697">
        <v>6.4542999999999999</v>
      </c>
    </row>
    <row r="1698" spans="1:2" x14ac:dyDescent="0.35">
      <c r="A1698" s="85">
        <v>45506</v>
      </c>
      <c r="B1698">
        <v>6.5179999999999998</v>
      </c>
    </row>
    <row r="1699" spans="1:2" x14ac:dyDescent="0.35">
      <c r="A1699" s="85">
        <v>45509</v>
      </c>
      <c r="B1699">
        <v>6.4382000000000001</v>
      </c>
    </row>
    <row r="1700" spans="1:2" x14ac:dyDescent="0.35">
      <c r="A1700" s="85">
        <v>45510</v>
      </c>
      <c r="B1700">
        <v>6.4909999999999997</v>
      </c>
    </row>
    <row r="1701" spans="1:2" x14ac:dyDescent="0.35">
      <c r="A1701" s="85">
        <v>45511</v>
      </c>
      <c r="B1701">
        <v>6.4122000000000003</v>
      </c>
    </row>
    <row r="1702" spans="1:2" x14ac:dyDescent="0.35">
      <c r="A1702" s="85">
        <v>45512</v>
      </c>
      <c r="B1702">
        <v>6.4478999999999997</v>
      </c>
    </row>
    <row r="1703" spans="1:2" x14ac:dyDescent="0.35">
      <c r="A1703" s="85">
        <v>45513</v>
      </c>
      <c r="B1703">
        <v>6.4485000000000001</v>
      </c>
    </row>
    <row r="1704" spans="1:2" x14ac:dyDescent="0.35">
      <c r="A1704" s="85">
        <v>45516</v>
      </c>
      <c r="B1704">
        <v>6.3674999999999997</v>
      </c>
    </row>
    <row r="1705" spans="1:2" x14ac:dyDescent="0.35">
      <c r="A1705" s="85">
        <v>45517</v>
      </c>
      <c r="B1705">
        <v>6.3127000000000004</v>
      </c>
    </row>
    <row r="1706" spans="1:2" x14ac:dyDescent="0.35">
      <c r="A1706" s="85">
        <v>45518</v>
      </c>
      <c r="B1706">
        <v>6.1599000000000004</v>
      </c>
    </row>
    <row r="1707" spans="1:2" x14ac:dyDescent="0.35">
      <c r="A1707" s="85">
        <v>45519</v>
      </c>
      <c r="B1707">
        <v>6.0019999999999998</v>
      </c>
    </row>
    <row r="1708" spans="1:2" x14ac:dyDescent="0.35">
      <c r="A1708" s="85">
        <v>45520</v>
      </c>
      <c r="B1708">
        <v>6.1707999999999998</v>
      </c>
    </row>
    <row r="1709" spans="1:2" x14ac:dyDescent="0.35">
      <c r="A1709" s="85">
        <v>45523</v>
      </c>
      <c r="B1709">
        <v>6.1086</v>
      </c>
    </row>
    <row r="1710" spans="1:2" x14ac:dyDescent="0.35">
      <c r="A1710" s="85">
        <v>45524</v>
      </c>
      <c r="B1710">
        <v>6.1711999999999998</v>
      </c>
    </row>
    <row r="1711" spans="1:2" x14ac:dyDescent="0.35">
      <c r="A1711" s="85">
        <v>45525</v>
      </c>
      <c r="B1711">
        <v>6.0397999999999996</v>
      </c>
    </row>
    <row r="1712" spans="1:2" x14ac:dyDescent="0.35">
      <c r="A1712" s="85">
        <v>45526</v>
      </c>
      <c r="B1712">
        <v>5.9527999999999999</v>
      </c>
    </row>
    <row r="1713" spans="1:2" x14ac:dyDescent="0.35">
      <c r="A1713" s="85">
        <v>45527</v>
      </c>
      <c r="B1713">
        <v>5.9244000000000003</v>
      </c>
    </row>
    <row r="1714" spans="1:2" x14ac:dyDescent="0.35">
      <c r="A1714" s="85">
        <v>45530</v>
      </c>
      <c r="B1714">
        <v>5.7647000000000004</v>
      </c>
    </row>
    <row r="1715" spans="1:2" x14ac:dyDescent="0.35">
      <c r="A1715" s="85">
        <v>45531</v>
      </c>
      <c r="B1715">
        <v>5.8952</v>
      </c>
    </row>
    <row r="1716" spans="1:2" x14ac:dyDescent="0.35">
      <c r="A1716" s="85">
        <v>45532</v>
      </c>
      <c r="B1716">
        <v>5.9775999999999998</v>
      </c>
    </row>
    <row r="1717" spans="1:2" x14ac:dyDescent="0.35">
      <c r="A1717" s="85">
        <v>45533</v>
      </c>
      <c r="B1717">
        <v>6.0907</v>
      </c>
    </row>
    <row r="1718" spans="1:2" x14ac:dyDescent="0.35">
      <c r="A1718" s="85">
        <v>45534</v>
      </c>
      <c r="B1718">
        <v>6.1736000000000004</v>
      </c>
    </row>
    <row r="1719" spans="1:2" x14ac:dyDescent="0.35">
      <c r="A1719" s="85">
        <v>45537</v>
      </c>
      <c r="B1719">
        <v>6.2068000000000003</v>
      </c>
    </row>
    <row r="1720" spans="1:2" x14ac:dyDescent="0.35">
      <c r="A1720" s="85">
        <v>45538</v>
      </c>
      <c r="B1720">
        <v>6.1106999999999996</v>
      </c>
    </row>
    <row r="1721" spans="1:2" x14ac:dyDescent="0.35">
      <c r="A1721" s="85">
        <v>45539</v>
      </c>
      <c r="B1721">
        <v>6.2286999999999999</v>
      </c>
    </row>
    <row r="1722" spans="1:2" x14ac:dyDescent="0.35">
      <c r="A1722" s="85">
        <v>45540</v>
      </c>
      <c r="B1722">
        <v>6.1688000000000001</v>
      </c>
    </row>
    <row r="1723" spans="1:2" x14ac:dyDescent="0.35">
      <c r="A1723" s="85">
        <v>45541</v>
      </c>
      <c r="B1723">
        <v>5.9874000000000001</v>
      </c>
    </row>
    <row r="1724" spans="1:2" x14ac:dyDescent="0.35">
      <c r="A1724" s="85">
        <v>45544</v>
      </c>
      <c r="B1724">
        <v>5.8273000000000001</v>
      </c>
    </row>
    <row r="1725" spans="1:2" x14ac:dyDescent="0.35">
      <c r="A1725" s="85">
        <v>45545</v>
      </c>
      <c r="B1725">
        <v>5.7289000000000003</v>
      </c>
    </row>
    <row r="1726" spans="1:2" x14ac:dyDescent="0.35">
      <c r="A1726" s="85">
        <v>45546</v>
      </c>
    </row>
    <row r="1727" spans="1:2" x14ac:dyDescent="0.35">
      <c r="A1727" s="85">
        <v>45547</v>
      </c>
    </row>
    <row r="1728" spans="1:2" x14ac:dyDescent="0.35">
      <c r="A1728" s="85">
        <v>45548</v>
      </c>
    </row>
    <row r="1729" spans="1:1" x14ac:dyDescent="0.35">
      <c r="A1729" s="85">
        <v>45549</v>
      </c>
    </row>
    <row r="1730" spans="1:1" x14ac:dyDescent="0.35">
      <c r="A1730" s="85">
        <v>45550</v>
      </c>
    </row>
    <row r="1731" spans="1:1" x14ac:dyDescent="0.35">
      <c r="A1731" s="85">
        <v>45551</v>
      </c>
    </row>
    <row r="1732" spans="1:1" x14ac:dyDescent="0.35">
      <c r="A1732" s="85">
        <v>45552</v>
      </c>
    </row>
    <row r="1733" spans="1:1" x14ac:dyDescent="0.35">
      <c r="A1733" s="85">
        <v>45553</v>
      </c>
    </row>
    <row r="1734" spans="1:1" x14ac:dyDescent="0.35">
      <c r="A1734" s="85">
        <v>45554</v>
      </c>
    </row>
    <row r="1735" spans="1:1" x14ac:dyDescent="0.35">
      <c r="A1735" s="85">
        <v>45555</v>
      </c>
    </row>
    <row r="1736" spans="1:1" x14ac:dyDescent="0.35">
      <c r="A1736" s="85">
        <v>45556</v>
      </c>
    </row>
    <row r="1737" spans="1:1" x14ac:dyDescent="0.35">
      <c r="A1737" s="85">
        <v>45557</v>
      </c>
    </row>
    <row r="1738" spans="1:1" x14ac:dyDescent="0.35">
      <c r="A1738" s="85">
        <v>45558</v>
      </c>
    </row>
    <row r="1739" spans="1:1" x14ac:dyDescent="0.35">
      <c r="A1739" s="85">
        <v>45559</v>
      </c>
    </row>
    <row r="1740" spans="1:1" x14ac:dyDescent="0.35">
      <c r="A1740" s="85">
        <v>45560</v>
      </c>
    </row>
    <row r="1741" spans="1:1" x14ac:dyDescent="0.35">
      <c r="A1741" s="85">
        <v>45561</v>
      </c>
    </row>
    <row r="1742" spans="1:1" x14ac:dyDescent="0.35">
      <c r="A1742" s="85">
        <v>45562</v>
      </c>
    </row>
    <row r="1743" spans="1:1" x14ac:dyDescent="0.35">
      <c r="A1743" s="85">
        <v>45563</v>
      </c>
    </row>
    <row r="1744" spans="1:1" x14ac:dyDescent="0.35">
      <c r="A1744" s="85">
        <v>45564</v>
      </c>
    </row>
    <row r="1745" spans="1:1" x14ac:dyDescent="0.35">
      <c r="A1745" s="85">
        <v>45565</v>
      </c>
    </row>
    <row r="1746" spans="1:1" x14ac:dyDescent="0.35">
      <c r="A1746" s="85">
        <v>45566</v>
      </c>
    </row>
  </sheetData>
  <autoFilter ref="A16:B1746" xr:uid="{944EF997-DF47-46B2-8316-D06ED8FF2BF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12B88-4AC0-4C3B-BB30-0F83A1CAC7D5}">
  <dimension ref="B7:I20"/>
  <sheetViews>
    <sheetView workbookViewId="0">
      <selection activeCell="D16" sqref="D16:E20"/>
    </sheetView>
  </sheetViews>
  <sheetFormatPr defaultRowHeight="14.5" x14ac:dyDescent="0.35"/>
  <cols>
    <col min="4" max="4" width="11.26953125" customWidth="1"/>
    <col min="5" max="5" width="17.7265625" customWidth="1"/>
  </cols>
  <sheetData>
    <row r="7" spans="2:9" x14ac:dyDescent="0.35">
      <c r="B7" t="s">
        <v>524</v>
      </c>
      <c r="C7" t="s">
        <v>525</v>
      </c>
      <c r="D7" t="s">
        <v>526</v>
      </c>
      <c r="E7" t="s">
        <v>527</v>
      </c>
      <c r="F7" t="s">
        <v>528</v>
      </c>
      <c r="G7" t="s">
        <v>529</v>
      </c>
      <c r="H7" t="s">
        <v>530</v>
      </c>
      <c r="I7" t="s">
        <v>531</v>
      </c>
    </row>
    <row r="8" spans="2:9" x14ac:dyDescent="0.35">
      <c r="F8" t="s">
        <v>532</v>
      </c>
      <c r="G8" t="s">
        <v>533</v>
      </c>
    </row>
    <row r="9" spans="2:9" x14ac:dyDescent="0.35">
      <c r="F9" t="s">
        <v>534</v>
      </c>
      <c r="G9" t="s">
        <v>535</v>
      </c>
    </row>
    <row r="10" spans="2:9" x14ac:dyDescent="0.35">
      <c r="F10" t="s">
        <v>536</v>
      </c>
      <c r="G10" t="s">
        <v>537</v>
      </c>
    </row>
    <row r="11" spans="2:9" x14ac:dyDescent="0.35">
      <c r="F11" t="s">
        <v>538</v>
      </c>
      <c r="G11">
        <v>3</v>
      </c>
    </row>
    <row r="16" spans="2:9" ht="28.5" customHeight="1" x14ac:dyDescent="0.35">
      <c r="D16" s="7" t="s">
        <v>539</v>
      </c>
      <c r="E16" s="7" t="s">
        <v>540</v>
      </c>
    </row>
    <row r="17" spans="4:5" ht="25.5" customHeight="1" x14ac:dyDescent="0.35">
      <c r="D17" s="2" t="s">
        <v>532</v>
      </c>
      <c r="E17" s="2" t="s">
        <v>533</v>
      </c>
    </row>
    <row r="18" spans="4:5" ht="25.5" customHeight="1" x14ac:dyDescent="0.35">
      <c r="D18" s="2" t="s">
        <v>534</v>
      </c>
      <c r="E18" s="2" t="s">
        <v>535</v>
      </c>
    </row>
    <row r="19" spans="4:5" ht="25.5" customHeight="1" x14ac:dyDescent="0.35">
      <c r="D19" s="2" t="s">
        <v>536</v>
      </c>
      <c r="E19" s="2" t="s">
        <v>537</v>
      </c>
    </row>
    <row r="20" spans="4:5" ht="25.5" customHeight="1" x14ac:dyDescent="0.35">
      <c r="D20" s="2" t="s">
        <v>538</v>
      </c>
      <c r="E20" s="2">
        <v>3</v>
      </c>
    </row>
  </sheetData>
  <pageMargins left="0.7" right="0.7" top="0.75" bottom="0.75" header="0.3" footer="0.3"/>
  <pageSetup paperSize="0" orientation="portrait" horizontalDpi="0" verticalDpi="0" copie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A2548-0E5F-488A-A9D9-E7CEE748556D}">
  <dimension ref="A1:BC443"/>
  <sheetViews>
    <sheetView topLeftCell="R1" zoomScale="70" zoomScaleNormal="70" workbookViewId="0">
      <selection activeCell="Q4" sqref="Q4:X23"/>
    </sheetView>
  </sheetViews>
  <sheetFormatPr defaultColWidth="8.7265625" defaultRowHeight="25" customHeight="1" x14ac:dyDescent="0.35"/>
  <cols>
    <col min="1" max="1" width="66.26953125" style="177" bestFit="1" customWidth="1"/>
    <col min="2" max="9" width="24.453125" style="177" customWidth="1"/>
    <col min="10" max="11" width="25.54296875" style="177" bestFit="1" customWidth="1"/>
    <col min="12" max="12" width="30.54296875" style="177" bestFit="1" customWidth="1"/>
    <col min="13" max="15" width="26.1796875" style="177" bestFit="1" customWidth="1"/>
    <col min="16" max="25" width="26.1796875" style="177" customWidth="1"/>
    <col min="26" max="26" width="15.81640625" style="138" bestFit="1" customWidth="1"/>
    <col min="27" max="27" width="19.26953125" style="138" bestFit="1" customWidth="1"/>
    <col min="28" max="28" width="98.453125" style="138" customWidth="1"/>
    <col min="29" max="29" width="8.7265625" style="138"/>
    <col min="30" max="30" width="62" style="138" customWidth="1"/>
    <col min="31" max="31" width="32.7265625" style="138" customWidth="1"/>
    <col min="32" max="35" width="11.453125" style="138" bestFit="1" customWidth="1"/>
    <col min="36" max="36" width="8.7265625" style="138"/>
    <col min="37" max="37" width="22.1796875" style="138" bestFit="1" customWidth="1"/>
    <col min="38" max="39" width="21" style="138" bestFit="1" customWidth="1"/>
    <col min="40" max="40" width="21.7265625" style="138" bestFit="1" customWidth="1"/>
    <col min="41" max="41" width="22.81640625" style="138" bestFit="1" customWidth="1"/>
    <col min="42" max="42" width="21" style="138" bestFit="1" customWidth="1"/>
    <col min="43" max="44" width="15.81640625" style="138" bestFit="1" customWidth="1"/>
    <col min="45" max="46" width="15.453125" style="138" bestFit="1" customWidth="1"/>
    <col min="47" max="16384" width="8.7265625" style="138"/>
  </cols>
  <sheetData>
    <row r="1" spans="1:55" s="107" customFormat="1" ht="25" customHeight="1" x14ac:dyDescent="0.35">
      <c r="A1" s="243" t="s">
        <v>22</v>
      </c>
      <c r="B1" s="370" t="s">
        <v>23</v>
      </c>
      <c r="C1" s="371"/>
      <c r="D1" s="371"/>
      <c r="E1" s="371"/>
      <c r="F1" s="371"/>
      <c r="G1" s="372"/>
      <c r="H1" s="276"/>
      <c r="I1" s="370" t="s">
        <v>24</v>
      </c>
      <c r="J1" s="371"/>
      <c r="K1" s="371"/>
      <c r="L1" s="371"/>
      <c r="M1" s="371"/>
      <c r="N1" s="371"/>
      <c r="O1" s="372"/>
      <c r="P1" s="294"/>
      <c r="Q1" s="294"/>
      <c r="R1" s="294"/>
      <c r="S1" s="294"/>
      <c r="T1" s="294"/>
      <c r="U1" s="294"/>
      <c r="V1" s="294"/>
      <c r="W1" s="294"/>
      <c r="X1" s="294"/>
      <c r="Y1" s="294"/>
      <c r="AE1" s="108">
        <f>AE3/AE2</f>
        <v>2.4273205236868114E-2</v>
      </c>
      <c r="AF1" s="108">
        <f t="shared" ref="AF1:AI1" si="0">AF3/AF2</f>
        <v>9.7205902973719491E-2</v>
      </c>
      <c r="AG1" s="108">
        <f t="shared" si="0"/>
        <v>0.12549270757739675</v>
      </c>
      <c r="AH1" s="108">
        <f t="shared" si="0"/>
        <v>0.15525475439461456</v>
      </c>
      <c r="AI1" s="108">
        <f t="shared" si="0"/>
        <v>8.2279316115299872E-2</v>
      </c>
      <c r="AK1" s="109">
        <f>$AK$2*[1]FCFE!G3</f>
        <v>5865.2682173533403</v>
      </c>
      <c r="AL1" s="109">
        <f>$AK$2*[1]FCFE!H3</f>
        <v>5932.622348501417</v>
      </c>
      <c r="AM1" s="109">
        <f>$AK$2*[1]FCFE!I3</f>
        <v>6008.2019977690352</v>
      </c>
      <c r="AN1" s="109">
        <f>$AK$2*[1]FCFE!J3</f>
        <v>6092.1157178527865</v>
      </c>
      <c r="AO1" s="109">
        <f>$AK$2*[1]FCFE!K3</f>
        <v>6184.5243222377057</v>
      </c>
    </row>
    <row r="2" spans="1:55" s="111" customFormat="1" ht="25" customHeight="1" thickBot="1" x14ac:dyDescent="0.4">
      <c r="A2" s="110" t="s">
        <v>25</v>
      </c>
      <c r="B2" s="110">
        <v>2018</v>
      </c>
      <c r="C2" s="110">
        <v>2019</v>
      </c>
      <c r="D2" s="110">
        <v>2020</v>
      </c>
      <c r="E2" s="110">
        <v>2021</v>
      </c>
      <c r="F2" s="110">
        <v>2022</v>
      </c>
      <c r="G2" s="110">
        <v>2023</v>
      </c>
      <c r="H2" s="110">
        <v>2024</v>
      </c>
      <c r="I2" s="110">
        <v>2025</v>
      </c>
      <c r="J2" s="110">
        <v>2026</v>
      </c>
      <c r="K2" s="110">
        <v>2027</v>
      </c>
      <c r="L2" s="110">
        <v>2028</v>
      </c>
      <c r="M2" s="110">
        <v>2029</v>
      </c>
      <c r="N2" s="110">
        <v>2030</v>
      </c>
      <c r="O2" s="110">
        <v>2031</v>
      </c>
      <c r="P2" s="295"/>
      <c r="Q2" s="295"/>
      <c r="R2" s="295"/>
      <c r="S2" s="295"/>
      <c r="T2" s="295"/>
      <c r="U2" s="295"/>
      <c r="V2" s="295"/>
      <c r="W2" s="295"/>
      <c r="X2" s="295"/>
      <c r="Y2" s="295"/>
      <c r="AE2" s="112">
        <f>'[1]BS IS'!J26</f>
        <v>52561950</v>
      </c>
      <c r="AF2" s="112">
        <f>'[1]BS IS'!K26</f>
        <v>56318123</v>
      </c>
      <c r="AG2" s="112">
        <f>'[1]BS IS'!L26</f>
        <v>59636286</v>
      </c>
      <c r="AH2" s="112">
        <f>'[1]BS IS'!M26</f>
        <v>60919165</v>
      </c>
      <c r="AI2" s="112">
        <f>'[1]BS IS'!N26</f>
        <v>59956247</v>
      </c>
      <c r="AK2" s="113">
        <f>AVERAGE(AE1:AI1)</f>
        <v>9.6901177259579752E-2</v>
      </c>
    </row>
    <row r="3" spans="1:55" s="107" customFormat="1" ht="77.5" customHeight="1" x14ac:dyDescent="0.35">
      <c r="A3" s="376" t="s">
        <v>26</v>
      </c>
      <c r="B3" s="377"/>
      <c r="C3" s="377"/>
      <c r="D3" s="377"/>
      <c r="E3" s="377"/>
      <c r="F3" s="377"/>
      <c r="G3" s="377"/>
      <c r="H3" s="378"/>
      <c r="I3" s="114">
        <f>SUM(I15,I27,I39,I51)</f>
        <v>2076513633.9999983</v>
      </c>
      <c r="J3" s="114">
        <f t="shared" ref="J3:O3" si="1">SUM(J15,J27,J39,J51)</f>
        <v>2070029853.6986272</v>
      </c>
      <c r="K3" s="114">
        <f t="shared" si="1"/>
        <v>2069797152.7860785</v>
      </c>
      <c r="L3" s="114">
        <f t="shared" si="1"/>
        <v>2034066649.4931724</v>
      </c>
      <c r="M3" s="114">
        <f t="shared" si="1"/>
        <v>2010946114.647603</v>
      </c>
      <c r="N3" s="114">
        <f t="shared" si="1"/>
        <v>2001814156.9940119</v>
      </c>
      <c r="O3" s="114">
        <f t="shared" si="1"/>
        <v>2009205899.5804861</v>
      </c>
      <c r="P3" s="296"/>
      <c r="Q3" s="296"/>
      <c r="R3" s="296"/>
      <c r="S3" s="296"/>
      <c r="T3" s="296"/>
      <c r="U3" s="296"/>
      <c r="V3" s="296"/>
      <c r="W3" s="296"/>
      <c r="X3" s="296"/>
      <c r="Y3" s="296"/>
      <c r="AB3" s="107">
        <v>1</v>
      </c>
      <c r="AD3" s="115" t="s">
        <v>27</v>
      </c>
      <c r="AE3" s="116">
        <v>1275847</v>
      </c>
      <c r="AF3" s="116">
        <v>5474454</v>
      </c>
      <c r="AG3" s="116">
        <v>7483919</v>
      </c>
      <c r="AH3" s="116">
        <v>9457990</v>
      </c>
      <c r="AI3" s="116">
        <v>4933159</v>
      </c>
      <c r="AK3" s="117">
        <f>AF1/AE1-1</f>
        <v>3.0046587183333857</v>
      </c>
      <c r="AL3" s="117">
        <f t="shared" ref="AL3:AO3" si="2">AG1/AF1-1</f>
        <v>0.29099883585593411</v>
      </c>
      <c r="AM3" s="117">
        <f t="shared" si="2"/>
        <v>0.23716156413999023</v>
      </c>
      <c r="AN3" s="117">
        <f t="shared" si="2"/>
        <v>-0.47003673777249577</v>
      </c>
      <c r="AO3" s="117">
        <f t="shared" si="2"/>
        <v>-1</v>
      </c>
      <c r="AP3" s="117">
        <f>AVERAGE(AK3:AO3)</f>
        <v>0.41255647611136281</v>
      </c>
    </row>
    <row r="4" spans="1:55" s="140" customFormat="1" ht="25" customHeight="1" x14ac:dyDescent="0.35">
      <c r="A4" s="373" t="s">
        <v>2</v>
      </c>
      <c r="B4" s="374"/>
      <c r="C4" s="374"/>
      <c r="D4" s="374"/>
      <c r="E4" s="374"/>
      <c r="F4" s="374"/>
      <c r="G4" s="374"/>
      <c r="H4" s="374"/>
      <c r="I4" s="374"/>
      <c r="J4" s="374"/>
      <c r="K4" s="374"/>
      <c r="L4" s="374"/>
      <c r="M4" s="374"/>
      <c r="N4" s="374"/>
      <c r="O4" s="375"/>
      <c r="P4" s="297"/>
      <c r="Q4" s="297" t="s">
        <v>7</v>
      </c>
      <c r="R4" s="297">
        <f>I2</f>
        <v>2025</v>
      </c>
      <c r="S4" s="297">
        <f t="shared" ref="S4:X4" si="3">J2</f>
        <v>2026</v>
      </c>
      <c r="T4" s="297">
        <f t="shared" si="3"/>
        <v>2027</v>
      </c>
      <c r="U4" s="297">
        <f t="shared" si="3"/>
        <v>2028</v>
      </c>
      <c r="V4" s="297">
        <f t="shared" si="3"/>
        <v>2029</v>
      </c>
      <c r="W4" s="297">
        <f t="shared" si="3"/>
        <v>2030</v>
      </c>
      <c r="X4" s="297">
        <f t="shared" si="3"/>
        <v>2031</v>
      </c>
      <c r="Y4" s="297"/>
      <c r="Z4" s="111"/>
      <c r="AA4" s="111"/>
      <c r="AB4" s="111"/>
      <c r="AC4" s="111"/>
      <c r="AD4" s="118" t="s">
        <v>28</v>
      </c>
      <c r="AE4" s="380" t="s">
        <v>29</v>
      </c>
      <c r="AF4" s="15">
        <v>2018</v>
      </c>
      <c r="AG4" s="15">
        <v>2019</v>
      </c>
      <c r="AH4" s="15">
        <v>2020</v>
      </c>
      <c r="AI4" s="15">
        <v>2021</v>
      </c>
      <c r="AJ4" s="15">
        <v>2022</v>
      </c>
      <c r="AK4" s="111"/>
      <c r="AL4" s="111"/>
      <c r="AM4" s="111"/>
      <c r="AN4" s="111"/>
      <c r="AO4" s="111"/>
      <c r="AP4" s="111"/>
      <c r="AQ4" s="111"/>
      <c r="AR4" s="111"/>
      <c r="AS4" s="111"/>
      <c r="AT4" s="111"/>
      <c r="AU4" s="111"/>
      <c r="AV4" s="111"/>
      <c r="AW4" s="111"/>
      <c r="AX4" s="111"/>
      <c r="AY4" s="111"/>
      <c r="AZ4" s="111"/>
      <c r="BA4" s="111"/>
      <c r="BB4" s="111"/>
      <c r="BC4" s="111"/>
    </row>
    <row r="5" spans="1:55" ht="25" customHeight="1" x14ac:dyDescent="0.35">
      <c r="A5" s="120" t="s">
        <v>7</v>
      </c>
      <c r="B5" s="120"/>
      <c r="C5" s="120"/>
      <c r="D5" s="120"/>
      <c r="E5" s="120"/>
      <c r="F5" s="120"/>
      <c r="G5" s="120"/>
      <c r="H5" s="121"/>
      <c r="I5" s="121">
        <f>'PHP Requirement'!C5</f>
        <v>402000</v>
      </c>
      <c r="J5" s="275">
        <f>I5*(1+J6)</f>
        <v>418435.6079608858</v>
      </c>
      <c r="K5" s="275">
        <f t="shared" ref="K5:O5" si="4">J5*(1+K6)</f>
        <v>438210.88838744041</v>
      </c>
      <c r="L5" s="275">
        <f t="shared" si="4"/>
        <v>462359.79535076686</v>
      </c>
      <c r="M5" s="275">
        <f t="shared" si="4"/>
        <v>492668.89615189889</v>
      </c>
      <c r="N5" s="275">
        <f t="shared" si="4"/>
        <v>531938.67084170762</v>
      </c>
      <c r="O5" s="275">
        <f t="shared" si="4"/>
        <v>584850.16637756722</v>
      </c>
      <c r="P5" s="298"/>
      <c r="Q5" s="313" t="s">
        <v>2</v>
      </c>
      <c r="R5" s="314">
        <v>402000</v>
      </c>
      <c r="S5" s="314">
        <v>418435.6079608858</v>
      </c>
      <c r="T5" s="314">
        <v>438210.88838744041</v>
      </c>
      <c r="U5" s="314">
        <v>462359.79535076686</v>
      </c>
      <c r="V5" s="314">
        <v>492668.89615189889</v>
      </c>
      <c r="W5" s="314">
        <v>531938.67084170762</v>
      </c>
      <c r="X5" s="314">
        <v>584850.16637756722</v>
      </c>
      <c r="Y5" s="298"/>
      <c r="Z5" s="107"/>
      <c r="AA5" s="379" t="s">
        <v>30</v>
      </c>
      <c r="AB5" s="379"/>
      <c r="AC5" s="107"/>
      <c r="AD5" s="122">
        <f>AVERAGE(I8:L8)</f>
        <v>0.14573239485712641</v>
      </c>
      <c r="AE5" s="380"/>
      <c r="AF5" s="123">
        <f>AF6/100</f>
        <v>0.10800000000000001</v>
      </c>
      <c r="AG5" s="123">
        <f>AG6/100</f>
        <v>0.11699999999999999</v>
      </c>
      <c r="AH5" s="123">
        <f>AH6/100</f>
        <v>8.199999999999999E-2</v>
      </c>
      <c r="AI5" s="123">
        <f>AI6/100</f>
        <v>5.5999999999999994E-2</v>
      </c>
      <c r="AJ5" s="123">
        <f>AJ6/100</f>
        <v>3.6000000000000004E-2</v>
      </c>
      <c r="AK5" s="107"/>
      <c r="AL5" s="107"/>
      <c r="AM5" s="107"/>
      <c r="AN5" s="107"/>
      <c r="AO5" s="107"/>
      <c r="AP5" s="107"/>
      <c r="AQ5" s="107"/>
      <c r="AR5" s="107"/>
      <c r="AS5" s="107"/>
      <c r="AT5" s="107"/>
      <c r="AU5" s="107"/>
      <c r="AV5" s="107"/>
      <c r="AW5" s="107"/>
      <c r="AX5" s="107"/>
      <c r="AY5" s="107"/>
      <c r="AZ5" s="107"/>
      <c r="BA5" s="107"/>
      <c r="BB5" s="107"/>
      <c r="BC5" s="107"/>
    </row>
    <row r="6" spans="1:55" ht="25" customHeight="1" x14ac:dyDescent="0.35">
      <c r="A6" s="124" t="s">
        <v>31</v>
      </c>
      <c r="B6" s="120"/>
      <c r="C6" s="120"/>
      <c r="D6" s="120"/>
      <c r="E6" s="120"/>
      <c r="F6" s="120"/>
      <c r="G6" s="120"/>
      <c r="H6" s="125">
        <v>15440.3</v>
      </c>
      <c r="I6" s="126">
        <f>(1+I8)*(1+I10)*(1-I11)-1</f>
        <v>0.12011643526905735</v>
      </c>
      <c r="J6" s="126">
        <f>AVERAGE(J8,J10)-J11</f>
        <v>4.0884596917626394E-2</v>
      </c>
      <c r="K6" s="126">
        <f>AVERAGE(K8,K10)-K11</f>
        <v>4.7260032488447123E-2</v>
      </c>
      <c r="L6" s="126">
        <f t="shared" ref="L6:O6" si="5">AVERAGE(L8,L10)-L11</f>
        <v>5.5107957385977645E-2</v>
      </c>
      <c r="M6" s="126">
        <f t="shared" si="5"/>
        <v>6.5553063016948077E-2</v>
      </c>
      <c r="N6" s="126">
        <f t="shared" si="5"/>
        <v>7.9708248270865367E-2</v>
      </c>
      <c r="O6" s="126">
        <f t="shared" si="5"/>
        <v>9.9469165218117495E-2</v>
      </c>
      <c r="P6" s="299"/>
      <c r="Q6" s="299" t="s">
        <v>32</v>
      </c>
      <c r="R6" s="311">
        <f>I17</f>
        <v>1619000</v>
      </c>
      <c r="S6" s="311">
        <f t="shared" ref="S6:X6" si="6">J17</f>
        <v>1704915.2356958711</v>
      </c>
      <c r="T6" s="311">
        <f t="shared" si="6"/>
        <v>1791438.2926412192</v>
      </c>
      <c r="U6" s="311">
        <f t="shared" si="6"/>
        <v>1705048.9757592878</v>
      </c>
      <c r="V6" s="311">
        <f t="shared" si="6"/>
        <v>1627535.7920900953</v>
      </c>
      <c r="W6" s="311">
        <f t="shared" si="6"/>
        <v>1558482.7847850258</v>
      </c>
      <c r="X6" s="311">
        <f t="shared" si="6"/>
        <v>1497571.1540881163</v>
      </c>
      <c r="Y6" s="299"/>
      <c r="Z6" s="107"/>
      <c r="AA6" s="379"/>
      <c r="AB6" s="379"/>
      <c r="AC6" s="107"/>
      <c r="AD6" s="108" t="e">
        <f>_xlfn.RRI(4,H5,L5)</f>
        <v>#NUM!</v>
      </c>
      <c r="AE6" s="106">
        <f>AVERAGE(AF5:AJ5)</f>
        <v>7.980000000000001E-2</v>
      </c>
      <c r="AF6" s="128">
        <v>10.8</v>
      </c>
      <c r="AG6" s="128">
        <v>11.7</v>
      </c>
      <c r="AH6" s="128">
        <v>8.1999999999999993</v>
      </c>
      <c r="AI6" s="128">
        <v>5.6</v>
      </c>
      <c r="AJ6" s="128">
        <v>3.6</v>
      </c>
      <c r="AK6" s="129">
        <f>AK1-AI3/1000</f>
        <v>932.10921735334068</v>
      </c>
      <c r="AL6" s="129">
        <f>AL1-AK1</f>
        <v>67.354131148076704</v>
      </c>
      <c r="AM6" s="129">
        <f t="shared" ref="AM6:AO6" si="7">AM1-AL1</f>
        <v>75.579649267618151</v>
      </c>
      <c r="AN6" s="129">
        <f t="shared" si="7"/>
        <v>83.913720083751286</v>
      </c>
      <c r="AO6" s="129">
        <f t="shared" si="7"/>
        <v>92.408604384919272</v>
      </c>
      <c r="AP6" s="107"/>
      <c r="AQ6" s="107"/>
      <c r="AR6" s="107"/>
      <c r="AS6" s="107"/>
      <c r="AT6" s="107"/>
      <c r="AU6" s="107"/>
      <c r="AV6" s="107"/>
      <c r="AW6" s="107"/>
      <c r="AX6" s="107"/>
      <c r="AY6" s="107"/>
      <c r="AZ6" s="107"/>
      <c r="BA6" s="107"/>
      <c r="BB6" s="107"/>
      <c r="BC6" s="107"/>
    </row>
    <row r="7" spans="1:55" ht="25" customHeight="1" x14ac:dyDescent="0.35">
      <c r="A7" s="124" t="s">
        <v>33</v>
      </c>
      <c r="B7" s="274">
        <v>49131.1</v>
      </c>
      <c r="C7" s="274">
        <v>52871.1</v>
      </c>
      <c r="D7" s="274">
        <v>55244</v>
      </c>
      <c r="E7" s="274">
        <v>55292.2</v>
      </c>
      <c r="F7" s="274">
        <v>59077.4</v>
      </c>
      <c r="G7" s="274">
        <v>66105.899999999994</v>
      </c>
      <c r="H7" s="130"/>
      <c r="I7" s="130"/>
      <c r="J7" s="130"/>
      <c r="K7" s="130"/>
      <c r="L7" s="130"/>
      <c r="M7" s="127"/>
      <c r="N7" s="127"/>
      <c r="O7" s="127"/>
      <c r="P7" s="300"/>
      <c r="Q7" s="300" t="s">
        <v>34</v>
      </c>
      <c r="R7" s="312">
        <f>I29</f>
        <v>3718000</v>
      </c>
      <c r="S7" s="312">
        <f t="shared" ref="S7:X7" si="8">J29</f>
        <v>3759425.7699459959</v>
      </c>
      <c r="T7" s="312">
        <f t="shared" si="8"/>
        <v>3805499.6211325307</v>
      </c>
      <c r="U7" s="312">
        <f t="shared" si="8"/>
        <v>3856551.2106568674</v>
      </c>
      <c r="V7" s="312">
        <f t="shared" si="8"/>
        <v>3912944.896142656</v>
      </c>
      <c r="W7" s="312">
        <f t="shared" si="8"/>
        <v>3975083.9592435542</v>
      </c>
      <c r="X7" s="312">
        <f t="shared" si="8"/>
        <v>4043415.4254905563</v>
      </c>
      <c r="Y7" s="300"/>
      <c r="Z7" s="107"/>
      <c r="AA7" s="379"/>
      <c r="AB7" s="379"/>
      <c r="AC7" s="107"/>
      <c r="AD7" s="107" t="s">
        <v>35</v>
      </c>
      <c r="AE7" s="107" t="s">
        <v>36</v>
      </c>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row>
    <row r="8" spans="1:55" ht="25" customHeight="1" x14ac:dyDescent="0.35">
      <c r="A8" s="127" t="s">
        <v>37</v>
      </c>
      <c r="B8" s="124"/>
      <c r="C8" s="126">
        <f>C7/B7-1</f>
        <v>7.6122863115216211E-2</v>
      </c>
      <c r="D8" s="126">
        <f t="shared" ref="D8:G8" si="9">D7/C7-1</f>
        <v>4.4880851731853522E-2</v>
      </c>
      <c r="E8" s="126">
        <f>E7/D7-1</f>
        <v>8.7249294040980807E-4</v>
      </c>
      <c r="F8" s="126">
        <f t="shared" si="9"/>
        <v>6.8458118866675743E-2</v>
      </c>
      <c r="G8" s="126">
        <f t="shared" si="9"/>
        <v>0.11897104476500298</v>
      </c>
      <c r="H8" s="127">
        <f>AVERAGE($C$8:$G$8)</f>
        <v>6.1861074283831655E-2</v>
      </c>
      <c r="I8" s="127">
        <f>G8*(1+$H$8)</f>
        <v>0.12633072140283588</v>
      </c>
      <c r="J8" s="127">
        <f>I8*(1+$H$8)</f>
        <v>0.13414567554386675</v>
      </c>
      <c r="K8" s="127">
        <f>J8*(1+I8)</f>
        <v>0.15109239550839421</v>
      </c>
      <c r="L8" s="127">
        <f t="shared" ref="L8:O8" si="10">K8*(1+J8)</f>
        <v>0.17136078697340884</v>
      </c>
      <c r="M8" s="127">
        <f t="shared" si="10"/>
        <v>0.19725209877342481</v>
      </c>
      <c r="N8" s="127">
        <f t="shared" si="10"/>
        <v>0.23105337365139547</v>
      </c>
      <c r="O8" s="127">
        <f t="shared" si="10"/>
        <v>0.27662913653281357</v>
      </c>
      <c r="P8" s="300"/>
      <c r="Q8" s="300" t="s">
        <v>5</v>
      </c>
      <c r="R8" s="312">
        <f>I41</f>
        <v>1133000</v>
      </c>
      <c r="S8" s="312">
        <f t="shared" ref="S8:X8" si="11">J41</f>
        <v>1177571.6184087007</v>
      </c>
      <c r="T8" s="312">
        <f t="shared" si="11"/>
        <v>1231542.9371546488</v>
      </c>
      <c r="U8" s="312">
        <f t="shared" si="11"/>
        <v>1296697.0991489172</v>
      </c>
      <c r="V8" s="312">
        <f t="shared" si="11"/>
        <v>1375285.1470040227</v>
      </c>
      <c r="W8" s="312">
        <f t="shared" si="11"/>
        <v>1470172.0444348566</v>
      </c>
      <c r="X8" s="312">
        <f t="shared" si="11"/>
        <v>1585036.1289905501</v>
      </c>
      <c r="Y8" s="300"/>
      <c r="Z8" s="107"/>
      <c r="AA8" s="379"/>
      <c r="AB8" s="379"/>
      <c r="AC8" s="107"/>
      <c r="AD8" s="107" t="s">
        <v>38</v>
      </c>
      <c r="AE8" s="119" t="s">
        <v>39</v>
      </c>
      <c r="AF8" s="15">
        <v>2018</v>
      </c>
      <c r="AG8" s="15">
        <v>2019</v>
      </c>
      <c r="AH8" s="15">
        <v>2020</v>
      </c>
      <c r="AI8" s="15">
        <v>2021</v>
      </c>
      <c r="AJ8" s="15">
        <v>2022</v>
      </c>
      <c r="AK8" s="107"/>
      <c r="AL8" s="107"/>
      <c r="AM8" s="107"/>
      <c r="AN8" s="107"/>
      <c r="AO8" s="107"/>
      <c r="AP8" s="107"/>
      <c r="AQ8" s="107"/>
      <c r="AR8" s="107"/>
      <c r="AS8" s="107"/>
      <c r="AT8" s="107"/>
      <c r="AU8" s="107"/>
      <c r="AV8" s="107"/>
      <c r="AW8" s="107"/>
      <c r="AX8" s="107"/>
      <c r="AY8" s="107"/>
      <c r="AZ8" s="107"/>
      <c r="BA8" s="107"/>
      <c r="BB8" s="107"/>
      <c r="BC8" s="107"/>
    </row>
    <row r="9" spans="1:55" ht="25" customHeight="1" x14ac:dyDescent="0.35">
      <c r="A9" s="124" t="s">
        <v>40</v>
      </c>
      <c r="B9" s="124">
        <v>3.19</v>
      </c>
      <c r="C9" s="124">
        <v>3.15</v>
      </c>
      <c r="D9" s="124">
        <v>3.39</v>
      </c>
      <c r="E9" s="124">
        <v>3.4</v>
      </c>
      <c r="F9" s="124">
        <v>3.62</v>
      </c>
      <c r="G9" s="124">
        <v>3.89</v>
      </c>
      <c r="H9" s="127"/>
      <c r="I9" s="127"/>
      <c r="J9" s="127"/>
      <c r="K9" s="127"/>
      <c r="L9" s="127"/>
      <c r="M9" s="127"/>
      <c r="N9" s="127"/>
      <c r="O9" s="127"/>
      <c r="P9" s="300"/>
      <c r="Q9" s="319" t="s">
        <v>8</v>
      </c>
      <c r="R9" s="297">
        <f>R4</f>
        <v>2025</v>
      </c>
      <c r="S9" s="297">
        <f t="shared" ref="S9:X9" si="12">S4</f>
        <v>2026</v>
      </c>
      <c r="T9" s="297">
        <f t="shared" si="12"/>
        <v>2027</v>
      </c>
      <c r="U9" s="297">
        <f t="shared" si="12"/>
        <v>2028</v>
      </c>
      <c r="V9" s="297">
        <f t="shared" si="12"/>
        <v>2029</v>
      </c>
      <c r="W9" s="297">
        <f t="shared" si="12"/>
        <v>2030</v>
      </c>
      <c r="X9" s="297">
        <f t="shared" si="12"/>
        <v>2031</v>
      </c>
      <c r="Y9" s="300"/>
      <c r="Z9" s="107"/>
      <c r="AA9" s="379"/>
      <c r="AB9" s="379"/>
      <c r="AC9" s="107"/>
      <c r="AD9" s="107"/>
      <c r="AE9" s="106" t="e">
        <f>AVERAGE(#REF!)</f>
        <v>#REF!</v>
      </c>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row>
    <row r="10" spans="1:55" s="140" customFormat="1" ht="25" customHeight="1" x14ac:dyDescent="0.35">
      <c r="A10" s="127">
        <f>AVERAGE(C10:G10)</f>
        <v>4.1178532291386016E-2</v>
      </c>
      <c r="B10" s="124"/>
      <c r="C10" s="126">
        <f>C9/B9-1</f>
        <v>-1.2539184952978122E-2</v>
      </c>
      <c r="D10" s="126">
        <f t="shared" ref="D10" si="13">D9/C9-1</f>
        <v>7.6190476190476364E-2</v>
      </c>
      <c r="E10" s="126">
        <f>E9/D9-1</f>
        <v>2.9498525073745618E-3</v>
      </c>
      <c r="F10" s="126">
        <f t="shared" ref="F10:G10" si="14">F9/E9-1</f>
        <v>6.4705882352941169E-2</v>
      </c>
      <c r="G10" s="126">
        <f t="shared" si="14"/>
        <v>7.4585635359116109E-2</v>
      </c>
      <c r="H10" s="127">
        <f>AVERAGE($C$10:$G$10)</f>
        <v>4.1178532291386016E-2</v>
      </c>
      <c r="I10" s="127">
        <f t="shared" ref="I10:O10" si="15">AVERAGE($C$10:$G$10)</f>
        <v>4.1178532291386016E-2</v>
      </c>
      <c r="J10" s="127">
        <f t="shared" si="15"/>
        <v>4.1178532291386016E-2</v>
      </c>
      <c r="K10" s="127">
        <f t="shared" si="15"/>
        <v>4.1178532291386016E-2</v>
      </c>
      <c r="L10" s="127">
        <f t="shared" si="15"/>
        <v>4.1178532291386016E-2</v>
      </c>
      <c r="M10" s="127">
        <f t="shared" si="15"/>
        <v>4.1178532291386016E-2</v>
      </c>
      <c r="N10" s="127">
        <f t="shared" si="15"/>
        <v>4.1178532291386016E-2</v>
      </c>
      <c r="O10" s="127">
        <f t="shared" si="15"/>
        <v>4.1178532291386016E-2</v>
      </c>
      <c r="P10" s="300"/>
      <c r="Q10" s="313" t="s">
        <v>2</v>
      </c>
      <c r="R10" s="314">
        <f>I12</f>
        <v>640.0737777777772</v>
      </c>
      <c r="S10" s="314">
        <f t="shared" ref="S10:X10" si="16">J12</f>
        <v>624.14368350299867</v>
      </c>
      <c r="T10" s="314">
        <f t="shared" si="16"/>
        <v>609.00678791363805</v>
      </c>
      <c r="U10" s="314">
        <f t="shared" si="16"/>
        <v>594.61421978059582</v>
      </c>
      <c r="V10" s="314">
        <f t="shared" si="16"/>
        <v>580.92069106572842</v>
      </c>
      <c r="W10" s="314">
        <f t="shared" si="16"/>
        <v>567.8841956419102</v>
      </c>
      <c r="X10" s="314">
        <f t="shared" si="16"/>
        <v>555.46573632950424</v>
      </c>
      <c r="Y10" s="300"/>
      <c r="Z10" s="111"/>
      <c r="AA10" s="379"/>
      <c r="AB10" s="379"/>
      <c r="AC10" s="111"/>
      <c r="AD10" s="111"/>
      <c r="AE10" s="111"/>
      <c r="AF10" s="111"/>
      <c r="AG10" s="111"/>
      <c r="AH10" s="111"/>
      <c r="AI10" s="111"/>
      <c r="AJ10" s="111"/>
      <c r="AK10" s="111"/>
      <c r="AL10" s="111">
        <v>66</v>
      </c>
      <c r="AM10" s="111">
        <v>4867</v>
      </c>
      <c r="AN10" s="111"/>
      <c r="AO10" s="111"/>
      <c r="AP10" s="111"/>
      <c r="AQ10" s="111"/>
      <c r="AR10" s="111"/>
      <c r="AS10" s="111"/>
      <c r="AT10" s="111"/>
      <c r="AU10" s="111"/>
      <c r="AV10" s="111"/>
      <c r="AW10" s="111"/>
      <c r="AX10" s="111"/>
      <c r="AY10" s="111"/>
      <c r="AZ10" s="111"/>
      <c r="BA10" s="111"/>
      <c r="BB10" s="111"/>
      <c r="BC10" s="111"/>
    </row>
    <row r="11" spans="1:55" s="141" customFormat="1" ht="25" customHeight="1" x14ac:dyDescent="0.35">
      <c r="A11" s="127" t="s">
        <v>41</v>
      </c>
      <c r="B11" s="127">
        <v>4.2999999999999997E-2</v>
      </c>
      <c r="C11" s="127">
        <v>4.2999999999999997E-2</v>
      </c>
      <c r="D11" s="127">
        <v>4.2999999999999997E-2</v>
      </c>
      <c r="E11" s="127">
        <v>4.2999999999999997E-2</v>
      </c>
      <c r="F11" s="127">
        <v>4.2999999999999997E-2</v>
      </c>
      <c r="G11" s="127">
        <v>4.2999999999999997E-2</v>
      </c>
      <c r="H11" s="127">
        <v>4.2999999999999997E-2</v>
      </c>
      <c r="I11" s="127">
        <f>H11*(1+G11)</f>
        <v>4.4848999999999993E-2</v>
      </c>
      <c r="J11" s="127">
        <f t="shared" ref="J11:O11" si="17">I11*(1+H11)</f>
        <v>4.6777506999999989E-2</v>
      </c>
      <c r="K11" s="127">
        <f t="shared" si="17"/>
        <v>4.8875431411442988E-2</v>
      </c>
      <c r="L11" s="127">
        <f t="shared" si="17"/>
        <v>5.1161702246419784E-2</v>
      </c>
      <c r="M11" s="127">
        <f t="shared" si="17"/>
        <v>5.3662252515457344E-2</v>
      </c>
      <c r="N11" s="127">
        <f t="shared" si="17"/>
        <v>5.6407704700525356E-2</v>
      </c>
      <c r="O11" s="127">
        <f t="shared" si="17"/>
        <v>5.9434669193982298E-2</v>
      </c>
      <c r="P11" s="300"/>
      <c r="Q11" s="299" t="s">
        <v>32</v>
      </c>
      <c r="R11" s="311">
        <f>I24</f>
        <v>268.6023888888887</v>
      </c>
      <c r="S11" s="311">
        <f t="shared" ref="S11:X11" si="18">J24</f>
        <v>260.18549870046564</v>
      </c>
      <c r="T11" s="311">
        <f t="shared" si="18"/>
        <v>252.24059196870783</v>
      </c>
      <c r="U11" s="311">
        <f t="shared" si="18"/>
        <v>244.73500575887104</v>
      </c>
      <c r="V11" s="311">
        <f t="shared" si="18"/>
        <v>237.63874347239243</v>
      </c>
      <c r="W11" s="311">
        <f t="shared" si="18"/>
        <v>230.92422707921875</v>
      </c>
      <c r="X11" s="311">
        <f t="shared" si="18"/>
        <v>224.56607494861552</v>
      </c>
      <c r="Y11" s="300"/>
      <c r="Z11" s="239"/>
      <c r="AA11" s="239"/>
      <c r="AB11" s="239"/>
      <c r="AC11" s="109"/>
      <c r="AD11" s="109"/>
      <c r="AE11" s="131" t="s">
        <v>42</v>
      </c>
      <c r="AF11" s="109"/>
      <c r="AG11" s="109"/>
      <c r="AH11" s="109"/>
      <c r="AI11" s="109"/>
      <c r="AJ11" s="109"/>
      <c r="AK11" s="109"/>
      <c r="AL11" s="109" t="s">
        <v>11</v>
      </c>
      <c r="AM11" s="108">
        <f>AL10/SUM(AL10:AM10)</f>
        <v>1.3379282383944861E-2</v>
      </c>
      <c r="AN11" s="109"/>
      <c r="AO11" s="109"/>
      <c r="AP11" s="109"/>
      <c r="AQ11" s="109"/>
      <c r="AR11" s="109"/>
      <c r="AS11" s="109"/>
      <c r="AT11" s="109"/>
      <c r="AU11" s="109"/>
      <c r="AV11" s="109"/>
      <c r="AW11" s="109"/>
      <c r="AX11" s="109"/>
      <c r="AY11" s="109"/>
      <c r="AZ11" s="109"/>
      <c r="BA11" s="109"/>
      <c r="BB11" s="109"/>
      <c r="BC11" s="109"/>
    </row>
    <row r="12" spans="1:55" ht="25" customHeight="1" x14ac:dyDescent="0.35">
      <c r="A12" s="120" t="s">
        <v>8</v>
      </c>
      <c r="B12" s="120"/>
      <c r="C12" s="120"/>
      <c r="D12" s="120"/>
      <c r="E12" s="120"/>
      <c r="F12" s="120"/>
      <c r="G12" s="120"/>
      <c r="H12" s="121"/>
      <c r="I12" s="121">
        <f>'PHP Requirement'!C6</f>
        <v>640.0737777777772</v>
      </c>
      <c r="J12" s="275">
        <f>I12*(1-J13)</f>
        <v>624.14368350299867</v>
      </c>
      <c r="K12" s="275">
        <f t="shared" ref="K12:O12" si="19">J12*(1-K13)</f>
        <v>609.00678791363805</v>
      </c>
      <c r="L12" s="275">
        <f t="shared" si="19"/>
        <v>594.61421978059582</v>
      </c>
      <c r="M12" s="275">
        <f t="shared" si="19"/>
        <v>580.92069106572842</v>
      </c>
      <c r="N12" s="275">
        <f t="shared" si="19"/>
        <v>567.8841956419102</v>
      </c>
      <c r="O12" s="275">
        <f t="shared" si="19"/>
        <v>555.46573632950424</v>
      </c>
      <c r="P12" s="298"/>
      <c r="Q12" s="300" t="s">
        <v>34</v>
      </c>
      <c r="R12" s="312">
        <f>I36</f>
        <v>280.03227777777755</v>
      </c>
      <c r="S12" s="312">
        <f t="shared" ref="S12:X12" si="20">J36</f>
        <v>271.25722204942156</v>
      </c>
      <c r="T12" s="312">
        <f t="shared" si="20"/>
        <v>262.97423418014216</v>
      </c>
      <c r="U12" s="312">
        <f t="shared" si="20"/>
        <v>255.14926132307826</v>
      </c>
      <c r="V12" s="312">
        <f t="shared" si="20"/>
        <v>247.75103042866442</v>
      </c>
      <c r="W12" s="312">
        <f t="shared" si="20"/>
        <v>240.75078993365358</v>
      </c>
      <c r="X12" s="312">
        <f t="shared" si="20"/>
        <v>234.12207813791829</v>
      </c>
      <c r="Y12" s="298"/>
      <c r="Z12" s="107"/>
      <c r="AA12" s="107"/>
      <c r="AB12" s="107"/>
      <c r="AC12" s="107"/>
      <c r="AD12" s="107"/>
      <c r="AE12" s="106" t="e">
        <f>AVERAGE(#REF!)</f>
        <v>#REF!</v>
      </c>
      <c r="AF12" s="132" t="s">
        <v>43</v>
      </c>
      <c r="AG12" s="107"/>
      <c r="AH12" s="107"/>
      <c r="AI12" s="107"/>
      <c r="AJ12" s="107"/>
      <c r="AK12" s="133" t="e">
        <f>AE3/H3</f>
        <v>#DIV/0!</v>
      </c>
      <c r="AL12" s="107"/>
      <c r="AM12" s="107"/>
      <c r="AN12" s="107"/>
      <c r="AO12" s="107"/>
      <c r="AP12" s="107"/>
      <c r="AQ12" s="107"/>
      <c r="AR12" s="107"/>
      <c r="AS12" s="107"/>
      <c r="AT12" s="107"/>
      <c r="AU12" s="107"/>
      <c r="AV12" s="107"/>
      <c r="AW12" s="107"/>
      <c r="AX12" s="107"/>
      <c r="AY12" s="107"/>
      <c r="AZ12" s="107"/>
      <c r="BA12" s="107"/>
      <c r="BB12" s="107"/>
      <c r="BC12" s="107"/>
    </row>
    <row r="13" spans="1:55" ht="25" customHeight="1" x14ac:dyDescent="0.35">
      <c r="A13" s="124" t="s">
        <v>31</v>
      </c>
      <c r="B13" s="126">
        <f>B14</f>
        <v>5.3093466162770699E-2</v>
      </c>
      <c r="C13" s="126">
        <f t="shared" ref="C13:G13" si="21">C14</f>
        <v>2.3920653442240401E-2</v>
      </c>
      <c r="D13" s="126">
        <f t="shared" si="21"/>
        <v>2.3931623931624003E-2</v>
      </c>
      <c r="E13" s="126">
        <f t="shared" si="21"/>
        <v>3.9271802210033201E-2</v>
      </c>
      <c r="F13" s="126">
        <f t="shared" si="21"/>
        <v>5.8211581121395496E-2</v>
      </c>
      <c r="G13" s="126">
        <f t="shared" si="21"/>
        <v>5.9780251554140899E-2</v>
      </c>
      <c r="H13" s="126">
        <f>H14</f>
        <v>3.3000000000000002E-2</v>
      </c>
      <c r="I13" s="126">
        <f>$B$15</f>
        <v>2.5540205372633962E-2</v>
      </c>
      <c r="J13" s="126">
        <f>I13*(1-$B$15)</f>
        <v>2.4887903282157644E-2</v>
      </c>
      <c r="K13" s="126">
        <f>J13*(1-$B$15)</f>
        <v>2.4252261121037087E-2</v>
      </c>
      <c r="L13" s="126">
        <f>K13*(1-$B$15)</f>
        <v>2.3632853391255055E-2</v>
      </c>
      <c r="M13" s="126">
        <f>L13*(1-$B$15)</f>
        <v>2.3029265462101052E-2</v>
      </c>
      <c r="N13" s="126">
        <f t="shared" ref="N13" si="22">M13*(1-$B$15)</f>
        <v>2.2441093292618085E-2</v>
      </c>
      <c r="O13" s="126">
        <f>N13*(1-$B$15)</f>
        <v>2.186794316113818E-2</v>
      </c>
      <c r="P13" s="299"/>
      <c r="Q13" s="300" t="s">
        <v>5</v>
      </c>
      <c r="R13" s="312">
        <f>I48</f>
        <v>302.89205555555532</v>
      </c>
      <c r="S13" s="312">
        <f t="shared" ref="S13:X13" si="23">J48</f>
        <v>293.40066874733355</v>
      </c>
      <c r="T13" s="312">
        <f t="shared" si="23"/>
        <v>284.44151860301093</v>
      </c>
      <c r="U13" s="312">
        <f t="shared" si="23"/>
        <v>275.97777245149285</v>
      </c>
      <c r="V13" s="312">
        <f t="shared" si="23"/>
        <v>267.97560434120851</v>
      </c>
      <c r="W13" s="312">
        <f t="shared" si="23"/>
        <v>260.40391564252332</v>
      </c>
      <c r="X13" s="312">
        <f t="shared" si="23"/>
        <v>253.23408451652392</v>
      </c>
      <c r="Y13" s="299"/>
      <c r="Z13" s="107"/>
      <c r="AA13" s="107"/>
      <c r="AB13" s="107"/>
      <c r="AC13" s="107"/>
      <c r="AD13" s="107" t="s">
        <v>44</v>
      </c>
      <c r="AE13" s="106" t="e">
        <f>AVERAGE(#REF!)</f>
        <v>#REF!</v>
      </c>
      <c r="AF13" s="106" t="e">
        <f>AVERAGE(AE13:AE14)</f>
        <v>#REF!</v>
      </c>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row>
    <row r="14" spans="1:55" ht="25" customHeight="1" x14ac:dyDescent="0.35">
      <c r="A14" s="124" t="s">
        <v>45</v>
      </c>
      <c r="B14" s="126">
        <v>5.3093466162770699E-2</v>
      </c>
      <c r="C14" s="126">
        <v>2.3920653442240401E-2</v>
      </c>
      <c r="D14" s="126">
        <v>2.3931623931624003E-2</v>
      </c>
      <c r="E14" s="126">
        <v>3.9271802210033201E-2</v>
      </c>
      <c r="F14" s="126">
        <v>5.8211581121395496E-2</v>
      </c>
      <c r="G14" s="126">
        <v>5.9780251554140899E-2</v>
      </c>
      <c r="H14" s="130">
        <v>3.3000000000000002E-2</v>
      </c>
      <c r="I14" s="130">
        <v>0.03</v>
      </c>
      <c r="J14" s="130">
        <v>0.03</v>
      </c>
      <c r="K14" s="130">
        <v>0.03</v>
      </c>
      <c r="L14" s="130">
        <v>0.03</v>
      </c>
      <c r="M14" s="127">
        <v>0.03</v>
      </c>
      <c r="N14" s="127">
        <v>0.03</v>
      </c>
      <c r="O14" s="127">
        <v>0.03</v>
      </c>
      <c r="P14" s="300"/>
      <c r="Q14" s="319" t="s">
        <v>46</v>
      </c>
      <c r="R14" s="297">
        <f>R9</f>
        <v>2025</v>
      </c>
      <c r="S14" s="297">
        <f t="shared" ref="S14:X14" si="24">S9</f>
        <v>2026</v>
      </c>
      <c r="T14" s="297">
        <f t="shared" si="24"/>
        <v>2027</v>
      </c>
      <c r="U14" s="297">
        <f t="shared" si="24"/>
        <v>2028</v>
      </c>
      <c r="V14" s="297">
        <f t="shared" si="24"/>
        <v>2029</v>
      </c>
      <c r="W14" s="297">
        <f t="shared" si="24"/>
        <v>2030</v>
      </c>
      <c r="X14" s="297">
        <f t="shared" si="24"/>
        <v>2031</v>
      </c>
      <c r="Y14" s="300"/>
      <c r="Z14" s="107"/>
      <c r="AA14" s="107"/>
      <c r="AB14" s="107"/>
      <c r="AC14" s="107"/>
      <c r="AD14" s="107" t="s">
        <v>47</v>
      </c>
      <c r="AE14" s="106">
        <v>3.2000000000000001E-2</v>
      </c>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row>
    <row r="15" spans="1:55" ht="25" customHeight="1" x14ac:dyDescent="0.35">
      <c r="A15" s="120" t="s">
        <v>46</v>
      </c>
      <c r="B15" s="277">
        <f>AVERAGE(C15:H15)</f>
        <v>2.5540205372633962E-2</v>
      </c>
      <c r="C15" s="277">
        <f>C14/B14-1</f>
        <v>-0.54946144655717288</v>
      </c>
      <c r="D15" s="277">
        <f t="shared" ref="D15:H15" si="25">D14/C14-1</f>
        <v>4.5861997081697581E-4</v>
      </c>
      <c r="E15" s="277">
        <f t="shared" si="25"/>
        <v>0.64100030663352525</v>
      </c>
      <c r="F15" s="277">
        <f t="shared" si="25"/>
        <v>0.48227424883810244</v>
      </c>
      <c r="G15" s="277">
        <f t="shared" si="25"/>
        <v>2.694773793335159E-2</v>
      </c>
      <c r="H15" s="277">
        <f t="shared" si="25"/>
        <v>-0.4479782345828196</v>
      </c>
      <c r="I15" s="121">
        <f t="shared" ref="I15:O15" si="26">I5*I12</f>
        <v>257309658.66666642</v>
      </c>
      <c r="J15" s="121">
        <f t="shared" si="26"/>
        <v>261163941.66152394</v>
      </c>
      <c r="K15" s="121">
        <f t="shared" si="26"/>
        <v>266873405.56561685</v>
      </c>
      <c r="L15" s="121">
        <f t="shared" si="26"/>
        <v>274925708.97041219</v>
      </c>
      <c r="M15" s="121">
        <f t="shared" si="26"/>
        <v>286201555.6191507</v>
      </c>
      <c r="N15" s="121">
        <f t="shared" si="26"/>
        <v>302079564.22176993</v>
      </c>
      <c r="O15" s="121">
        <f t="shared" si="26"/>
        <v>324864228.30934846</v>
      </c>
      <c r="P15" s="301"/>
      <c r="Q15" s="313" t="s">
        <v>2</v>
      </c>
      <c r="R15" s="314">
        <f>R10*R5</f>
        <v>257309658.66666642</v>
      </c>
      <c r="S15" s="314">
        <f t="shared" ref="S15:X15" si="27">S10*S5</f>
        <v>261163941.66152394</v>
      </c>
      <c r="T15" s="314">
        <f t="shared" si="27"/>
        <v>266873405.56561685</v>
      </c>
      <c r="U15" s="314">
        <f t="shared" si="27"/>
        <v>274925708.97041219</v>
      </c>
      <c r="V15" s="314">
        <f t="shared" si="27"/>
        <v>286201555.6191507</v>
      </c>
      <c r="W15" s="314">
        <f t="shared" si="27"/>
        <v>302079564.22176993</v>
      </c>
      <c r="X15" s="314">
        <f t="shared" si="27"/>
        <v>324864228.30934846</v>
      </c>
      <c r="Y15" s="301"/>
      <c r="Z15" s="107"/>
      <c r="AA15" s="107"/>
      <c r="AB15" s="120"/>
      <c r="AC15" s="107"/>
      <c r="AD15" s="106">
        <f>O3/N3-1</f>
        <v>3.6925218860346387E-3</v>
      </c>
      <c r="AE15" s="106">
        <f>Z3/O3-1</f>
        <v>-1</v>
      </c>
      <c r="AF15" s="106" t="e">
        <f>AA3/Z3-1</f>
        <v>#DIV/0!</v>
      </c>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row>
    <row r="16" spans="1:55" s="140" customFormat="1" ht="25" customHeight="1" x14ac:dyDescent="0.35">
      <c r="A16" s="373" t="s">
        <v>32</v>
      </c>
      <c r="B16" s="374"/>
      <c r="C16" s="374"/>
      <c r="D16" s="374"/>
      <c r="E16" s="374"/>
      <c r="F16" s="374"/>
      <c r="G16" s="374"/>
      <c r="H16" s="374"/>
      <c r="I16" s="374"/>
      <c r="J16" s="374"/>
      <c r="K16" s="374"/>
      <c r="L16" s="374"/>
      <c r="M16" s="374"/>
      <c r="N16" s="374"/>
      <c r="O16" s="375"/>
      <c r="P16" s="297"/>
      <c r="Q16" s="299" t="s">
        <v>32</v>
      </c>
      <c r="R16" s="314">
        <f t="shared" ref="R16:X18" si="28">R11*R6</f>
        <v>434867267.61111081</v>
      </c>
      <c r="S16" s="314">
        <f t="shared" si="28"/>
        <v>443594220.84155214</v>
      </c>
      <c r="T16" s="314">
        <f t="shared" si="28"/>
        <v>451873455.41123241</v>
      </c>
      <c r="U16" s="314">
        <f t="shared" si="28"/>
        <v>417285170.9016065</v>
      </c>
      <c r="V16" s="314">
        <f t="shared" si="28"/>
        <v>386765560.58863521</v>
      </c>
      <c r="W16" s="314">
        <f t="shared" si="28"/>
        <v>359891432.49275047</v>
      </c>
      <c r="X16" s="314">
        <f t="shared" si="28"/>
        <v>336303676.02983654</v>
      </c>
      <c r="Y16" s="297"/>
      <c r="Z16" s="111"/>
      <c r="AA16" s="111"/>
      <c r="AB16" s="111"/>
      <c r="AC16" s="111"/>
      <c r="AD16" s="134" t="e">
        <f>SUM(AB15:AF15)/5</f>
        <v>#DIV/0!</v>
      </c>
      <c r="AE16" s="111"/>
      <c r="AF16" s="111"/>
      <c r="AG16" s="111"/>
      <c r="AH16" s="111"/>
      <c r="AI16" s="111"/>
      <c r="AJ16" s="111"/>
      <c r="AK16" s="111"/>
      <c r="AL16" s="111"/>
      <c r="AM16" s="111"/>
      <c r="AN16" s="111"/>
      <c r="AO16" s="111"/>
      <c r="AP16" s="111"/>
      <c r="AQ16" s="111"/>
      <c r="AR16" s="111"/>
      <c r="AS16" s="111"/>
      <c r="AT16" s="111"/>
      <c r="AU16" s="111"/>
      <c r="AV16" s="111"/>
      <c r="AW16" s="111"/>
      <c r="AX16" s="111"/>
      <c r="AY16" s="111"/>
      <c r="AZ16" s="111"/>
      <c r="BA16" s="111"/>
      <c r="BB16" s="111"/>
      <c r="BC16" s="111"/>
    </row>
    <row r="17" spans="1:55" s="142" customFormat="1" ht="25" customHeight="1" x14ac:dyDescent="0.35">
      <c r="A17" s="120" t="s">
        <v>7</v>
      </c>
      <c r="B17" s="120"/>
      <c r="C17" s="120"/>
      <c r="D17" s="120"/>
      <c r="E17" s="120"/>
      <c r="F17" s="120"/>
      <c r="G17" s="120"/>
      <c r="H17" s="121"/>
      <c r="I17" s="121">
        <f>'PHP Requirement'!E5</f>
        <v>1619000</v>
      </c>
      <c r="J17" s="275">
        <f>I17*(1+J18)</f>
        <v>1704915.2356958711</v>
      </c>
      <c r="K17" s="275">
        <f>J17*(1+K18)</f>
        <v>1791438.2926412192</v>
      </c>
      <c r="L17" s="275">
        <f>K17*(1-L18)</f>
        <v>1705048.9757592878</v>
      </c>
      <c r="M17" s="275">
        <f t="shared" ref="M17:O17" si="29">L17*(1-M18)</f>
        <v>1627535.7920900953</v>
      </c>
      <c r="N17" s="275">
        <f t="shared" si="29"/>
        <v>1558482.7847850258</v>
      </c>
      <c r="O17" s="275">
        <f t="shared" si="29"/>
        <v>1497571.1540881163</v>
      </c>
      <c r="P17" s="298"/>
      <c r="Q17" s="300" t="s">
        <v>34</v>
      </c>
      <c r="R17" s="314">
        <f t="shared" si="28"/>
        <v>1041160008.777777</v>
      </c>
      <c r="S17" s="314">
        <f t="shared" si="28"/>
        <v>1019771390.8565586</v>
      </c>
      <c r="T17" s="314">
        <f t="shared" si="28"/>
        <v>1000748348.5401484</v>
      </c>
      <c r="U17" s="314">
        <f t="shared" si="28"/>
        <v>983996192.65372288</v>
      </c>
      <c r="V17" s="314">
        <f t="shared" si="28"/>
        <v>969436130.0299263</v>
      </c>
      <c r="W17" s="314">
        <f t="shared" si="28"/>
        <v>957004603.2404809</v>
      </c>
      <c r="X17" s="314">
        <f t="shared" si="28"/>
        <v>946652822.19076419</v>
      </c>
      <c r="Y17" s="298"/>
      <c r="Z17" s="136"/>
      <c r="AA17" s="379" t="s">
        <v>48</v>
      </c>
      <c r="AB17" s="379"/>
      <c r="AC17" s="136"/>
      <c r="AD17" s="122" t="e">
        <f>SUM(AB18:AF18)/5</f>
        <v>#VALUE!</v>
      </c>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row>
    <row r="18" spans="1:55" ht="25" customHeight="1" x14ac:dyDescent="0.35">
      <c r="A18" s="124" t="s">
        <v>31</v>
      </c>
      <c r="B18" s="120"/>
      <c r="C18" s="120"/>
      <c r="D18" s="120"/>
      <c r="E18" s="120"/>
      <c r="F18" s="120"/>
      <c r="G18" s="120"/>
      <c r="H18" s="125">
        <v>15440.3</v>
      </c>
      <c r="I18" s="126">
        <f>(1+I20)*(1+I22)*(1-I23)-1</f>
        <v>0.11910365557714542</v>
      </c>
      <c r="J18" s="126">
        <f t="shared" ref="J18:O18" si="30">(1+J20)*(1+J22)*(1-J23)-1</f>
        <v>5.3066853425491667E-2</v>
      </c>
      <c r="K18" s="126">
        <f>(1+K20)*(1+K22)*(1-K23)-1</f>
        <v>5.0749183967514488E-2</v>
      </c>
      <c r="L18" s="126">
        <f t="shared" si="30"/>
        <v>4.8223439923550382E-2</v>
      </c>
      <c r="M18" s="126">
        <f>(1+M20)*(1+M22)*(1-M23)-1</f>
        <v>4.5460971955174845E-2</v>
      </c>
      <c r="N18" s="126">
        <f t="shared" si="30"/>
        <v>4.2427950058407715E-2</v>
      </c>
      <c r="O18" s="126">
        <f t="shared" si="30"/>
        <v>3.9083929121046745E-2</v>
      </c>
      <c r="P18" s="299"/>
      <c r="Q18" s="300" t="s">
        <v>5</v>
      </c>
      <c r="R18" s="314">
        <f t="shared" si="28"/>
        <v>343176698.94444418</v>
      </c>
      <c r="S18" s="314">
        <f t="shared" si="28"/>
        <v>345500300.33899266</v>
      </c>
      <c r="T18" s="314">
        <f t="shared" si="28"/>
        <v>350301943.26908076</v>
      </c>
      <c r="U18" s="314">
        <f t="shared" si="28"/>
        <v>357859576.96743077</v>
      </c>
      <c r="V18" s="314">
        <f t="shared" si="28"/>
        <v>368542868.40989077</v>
      </c>
      <c r="W18" s="314">
        <f t="shared" si="28"/>
        <v>382838557.03901047</v>
      </c>
      <c r="X18" s="314">
        <f t="shared" si="28"/>
        <v>401385173.05053687</v>
      </c>
      <c r="Y18" s="299"/>
      <c r="Z18" s="107"/>
      <c r="AA18" s="379"/>
      <c r="AB18" s="379"/>
      <c r="AC18" s="107"/>
      <c r="AD18" s="106">
        <f>O5/N5-1</f>
        <v>9.9469165218117439E-2</v>
      </c>
      <c r="AE18" s="106">
        <f>Z5/O5-1</f>
        <v>-1</v>
      </c>
      <c r="AF18" s="106" t="e">
        <f>AA5/Z5-1</f>
        <v>#VALUE!</v>
      </c>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row>
    <row r="19" spans="1:55" ht="25" customHeight="1" x14ac:dyDescent="0.35">
      <c r="A19" s="124" t="s">
        <v>49</v>
      </c>
      <c r="B19" s="274">
        <v>10959.7</v>
      </c>
      <c r="C19" s="274">
        <v>11432.8</v>
      </c>
      <c r="D19" s="274">
        <v>11910.1</v>
      </c>
      <c r="E19" s="274">
        <v>12244.1</v>
      </c>
      <c r="F19" s="274">
        <v>13150</v>
      </c>
      <c r="G19" s="274">
        <v>14705.8</v>
      </c>
      <c r="H19" s="130"/>
      <c r="I19" s="130"/>
      <c r="J19" s="130"/>
      <c r="K19" s="130"/>
      <c r="L19" s="130"/>
      <c r="M19" s="127"/>
      <c r="N19" s="127"/>
      <c r="O19" s="127"/>
      <c r="P19" s="300"/>
      <c r="Q19" s="297" t="s">
        <v>13</v>
      </c>
      <c r="R19" s="297">
        <f>R14</f>
        <v>2025</v>
      </c>
      <c r="S19" s="297">
        <f t="shared" ref="S19:X19" si="31">S14</f>
        <v>2026</v>
      </c>
      <c r="T19" s="297">
        <f t="shared" si="31"/>
        <v>2027</v>
      </c>
      <c r="U19" s="297">
        <f t="shared" si="31"/>
        <v>2028</v>
      </c>
      <c r="V19" s="297">
        <f t="shared" si="31"/>
        <v>2029</v>
      </c>
      <c r="W19" s="297">
        <f t="shared" si="31"/>
        <v>2030</v>
      </c>
      <c r="X19" s="297">
        <f t="shared" si="31"/>
        <v>2031</v>
      </c>
      <c r="Y19" s="300"/>
      <c r="Z19" s="107"/>
      <c r="AA19" s="379"/>
      <c r="AB19" s="379"/>
      <c r="AC19" s="120">
        <v>2.39206534422404</v>
      </c>
      <c r="AD19" s="120">
        <v>2.3931623931624002</v>
      </c>
      <c r="AE19" s="120">
        <v>3.92718022100332</v>
      </c>
      <c r="AF19" s="120">
        <v>5.8211581121395497</v>
      </c>
      <c r="AG19" s="120">
        <v>5.9780251554140902</v>
      </c>
      <c r="AH19" s="120">
        <v>3.3</v>
      </c>
      <c r="AI19" s="120">
        <v>3</v>
      </c>
      <c r="AJ19" s="120">
        <v>3</v>
      </c>
      <c r="AK19" s="120">
        <v>3</v>
      </c>
      <c r="AL19" s="120">
        <v>3</v>
      </c>
      <c r="AM19" s="120">
        <v>3</v>
      </c>
      <c r="AN19" s="120">
        <v>3</v>
      </c>
      <c r="AO19" s="120">
        <v>3</v>
      </c>
      <c r="AP19" s="107"/>
      <c r="AQ19" s="107"/>
      <c r="AR19" s="107"/>
      <c r="AS19" s="107"/>
      <c r="AT19" s="107"/>
      <c r="AU19" s="107"/>
      <c r="AV19" s="107"/>
      <c r="AW19" s="107"/>
      <c r="AX19" s="107"/>
      <c r="AY19" s="107"/>
      <c r="AZ19" s="107"/>
      <c r="BA19" s="107"/>
      <c r="BB19" s="107"/>
      <c r="BC19" s="107"/>
    </row>
    <row r="20" spans="1:55" ht="25" customHeight="1" x14ac:dyDescent="0.35">
      <c r="A20" s="127" t="s">
        <v>37</v>
      </c>
      <c r="B20" s="124"/>
      <c r="C20" s="126">
        <f>C19/B19-1</f>
        <v>4.316723997919647E-2</v>
      </c>
      <c r="D20" s="126">
        <f t="shared" ref="D20" si="32">D19/C19-1</f>
        <v>4.1748303127842723E-2</v>
      </c>
      <c r="E20" s="126">
        <f>E19/D19-1</f>
        <v>2.8043425328082794E-2</v>
      </c>
      <c r="F20" s="126">
        <f t="shared" ref="F20:G20" si="33">F19/E19-1</f>
        <v>7.3986654797004281E-2</v>
      </c>
      <c r="G20" s="126">
        <f t="shared" si="33"/>
        <v>0.11831178707224321</v>
      </c>
      <c r="H20" s="127">
        <f>AVERAGE($C$20:$G$20)</f>
        <v>6.1051482060873893E-2</v>
      </c>
      <c r="I20" s="127">
        <f>G20*(1+H20)</f>
        <v>0.12553489701827419</v>
      </c>
      <c r="J20" s="127">
        <f>$H$20</f>
        <v>6.1051482060873893E-2</v>
      </c>
      <c r="K20" s="127">
        <f t="shared" ref="K20:O20" si="34">$H$20</f>
        <v>6.1051482060873893E-2</v>
      </c>
      <c r="L20" s="127">
        <f t="shared" si="34"/>
        <v>6.1051482060873893E-2</v>
      </c>
      <c r="M20" s="127">
        <f t="shared" si="34"/>
        <v>6.1051482060873893E-2</v>
      </c>
      <c r="N20" s="127">
        <f t="shared" si="34"/>
        <v>6.1051482060873893E-2</v>
      </c>
      <c r="O20" s="127">
        <f t="shared" si="34"/>
        <v>6.1051482060873893E-2</v>
      </c>
      <c r="P20" s="300"/>
      <c r="Q20" s="313" t="s">
        <v>2</v>
      </c>
      <c r="R20" s="314">
        <f>I54</f>
        <v>105221271.13333325</v>
      </c>
      <c r="S20" s="314">
        <f t="shared" ref="S20:X20" si="35">J54</f>
        <v>107352073.20099688</v>
      </c>
      <c r="T20" s="314">
        <f t="shared" si="35"/>
        <v>105722456.60503486</v>
      </c>
      <c r="U20" s="314">
        <f t="shared" si="35"/>
        <v>119038088.64910379</v>
      </c>
      <c r="V20" s="314">
        <f t="shared" si="35"/>
        <v>135357656.71317342</v>
      </c>
      <c r="W20" s="314">
        <f t="shared" si="35"/>
        <v>155959217.31289455</v>
      </c>
      <c r="X20" s="314">
        <f t="shared" si="35"/>
        <v>182985173.25387368</v>
      </c>
      <c r="Y20" s="300"/>
      <c r="Z20" s="107"/>
      <c r="AA20" s="379"/>
      <c r="AB20" s="379"/>
      <c r="AC20" s="107"/>
      <c r="AD20" s="106">
        <f>AVERAGE(I150:L150)</f>
        <v>0.10872201742258292</v>
      </c>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row>
    <row r="21" spans="1:55" ht="25" customHeight="1" x14ac:dyDescent="0.35">
      <c r="A21" s="124" t="s">
        <v>40</v>
      </c>
      <c r="B21" s="124">
        <v>3.19</v>
      </c>
      <c r="C21" s="124">
        <v>3.15</v>
      </c>
      <c r="D21" s="124">
        <v>3.39</v>
      </c>
      <c r="E21" s="124">
        <v>3.4</v>
      </c>
      <c r="F21" s="124">
        <v>3.62</v>
      </c>
      <c r="G21" s="124">
        <v>3.89</v>
      </c>
      <c r="H21" s="127"/>
      <c r="I21" s="127"/>
      <c r="J21" s="127"/>
      <c r="K21" s="127"/>
      <c r="L21" s="127"/>
      <c r="M21" s="127"/>
      <c r="N21" s="127"/>
      <c r="O21" s="127"/>
      <c r="P21" s="300"/>
      <c r="Q21" s="299" t="s">
        <v>32</v>
      </c>
      <c r="R21" s="314">
        <f>I64</f>
        <v>233162875.39999983</v>
      </c>
      <c r="S21" s="314">
        <f t="shared" ref="S21:X21" si="36">J64</f>
        <v>240668724.1343362</v>
      </c>
      <c r="T21" s="314">
        <f t="shared" si="36"/>
        <v>237805008.66741756</v>
      </c>
      <c r="U21" s="314">
        <f t="shared" si="36"/>
        <v>241533738.25670451</v>
      </c>
      <c r="V21" s="314">
        <f t="shared" si="36"/>
        <v>246032961.13878146</v>
      </c>
      <c r="W21" s="314">
        <f t="shared" si="36"/>
        <v>251412319.8165597</v>
      </c>
      <c r="X21" s="314">
        <f t="shared" si="36"/>
        <v>257806470.22094753</v>
      </c>
      <c r="Y21" s="300"/>
      <c r="Z21" s="107"/>
      <c r="AA21" s="379"/>
      <c r="AB21" s="379"/>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row>
    <row r="22" spans="1:55" s="140" customFormat="1" ht="25" customHeight="1" x14ac:dyDescent="0.35">
      <c r="A22" s="127">
        <f>AVERAGE(C22:G22)</f>
        <v>4.1178532291386016E-2</v>
      </c>
      <c r="B22" s="124"/>
      <c r="C22" s="126">
        <f>C21/B21-1</f>
        <v>-1.2539184952978122E-2</v>
      </c>
      <c r="D22" s="126">
        <f t="shared" ref="D22" si="37">D21/C21-1</f>
        <v>7.6190476190476364E-2</v>
      </c>
      <c r="E22" s="126">
        <f>E21/D21-1</f>
        <v>2.9498525073745618E-3</v>
      </c>
      <c r="F22" s="126">
        <f t="shared" ref="F22:G22" si="38">F21/E21-1</f>
        <v>6.4705882352941169E-2</v>
      </c>
      <c r="G22" s="126">
        <f t="shared" si="38"/>
        <v>7.4585635359116109E-2</v>
      </c>
      <c r="H22" s="127">
        <f>AVERAGE($C$22:$G$22)</f>
        <v>4.1178532291386016E-2</v>
      </c>
      <c r="I22" s="127">
        <f>H22*(1-0.5%)</f>
        <v>4.0972639629929086E-2</v>
      </c>
      <c r="J22" s="127">
        <f t="shared" ref="J22:O22" si="39">AVERAGE($C$10:$G$10)</f>
        <v>4.1178532291386016E-2</v>
      </c>
      <c r="K22" s="127">
        <f t="shared" si="39"/>
        <v>4.1178532291386016E-2</v>
      </c>
      <c r="L22" s="127">
        <f t="shared" si="39"/>
        <v>4.1178532291386016E-2</v>
      </c>
      <c r="M22" s="127">
        <f t="shared" si="39"/>
        <v>4.1178532291386016E-2</v>
      </c>
      <c r="N22" s="127">
        <f t="shared" si="39"/>
        <v>4.1178532291386016E-2</v>
      </c>
      <c r="O22" s="127">
        <f t="shared" si="39"/>
        <v>4.1178532291386016E-2</v>
      </c>
      <c r="P22" s="300"/>
      <c r="Q22" s="300" t="s">
        <v>34</v>
      </c>
      <c r="R22" s="314">
        <f>I74</f>
        <v>499331840.94444406</v>
      </c>
      <c r="S22" s="314">
        <f t="shared" ref="S22:X22" si="40">J74</f>
        <v>494886605.47135758</v>
      </c>
      <c r="T22" s="314">
        <f t="shared" si="40"/>
        <v>471083777.48007423</v>
      </c>
      <c r="U22" s="314">
        <f t="shared" si="40"/>
        <v>509456806.66391343</v>
      </c>
      <c r="V22" s="314">
        <f t="shared" si="40"/>
        <v>551612118.77889299</v>
      </c>
      <c r="W22" s="314">
        <f t="shared" si="40"/>
        <v>597995854.6983043</v>
      </c>
      <c r="X22" s="314">
        <f t="shared" si="40"/>
        <v>649115577.71475041</v>
      </c>
      <c r="Y22" s="300"/>
      <c r="Z22" s="111"/>
      <c r="AA22" s="379"/>
      <c r="AB22" s="379"/>
      <c r="AC22" s="111"/>
      <c r="AD22" s="106">
        <f>O146/N146-1</f>
        <v>-0.53834726558861679</v>
      </c>
      <c r="AE22" s="106">
        <f>Z18/O146-1</f>
        <v>-1</v>
      </c>
      <c r="AF22" s="106" t="e">
        <f>AA18/Z18-1</f>
        <v>#DIV/0!</v>
      </c>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row>
    <row r="23" spans="1:55" ht="25" customHeight="1" x14ac:dyDescent="0.35">
      <c r="A23" s="127" t="s">
        <v>41</v>
      </c>
      <c r="B23" s="127">
        <v>4.2999999999999997E-2</v>
      </c>
      <c r="C23" s="127">
        <v>4.2999999999999997E-2</v>
      </c>
      <c r="D23" s="127">
        <v>4.2999999999999997E-2</v>
      </c>
      <c r="E23" s="127">
        <v>4.2999999999999997E-2</v>
      </c>
      <c r="F23" s="127">
        <v>4.2999999999999997E-2</v>
      </c>
      <c r="G23" s="127">
        <v>4.2999999999999997E-2</v>
      </c>
      <c r="H23" s="127">
        <v>4.2999999999999997E-2</v>
      </c>
      <c r="I23" s="127">
        <f>H23*(1+G23)</f>
        <v>4.4848999999999993E-2</v>
      </c>
      <c r="J23" s="127">
        <f t="shared" ref="J23:O23" si="41">I23*(1+H23)</f>
        <v>4.6777506999999989E-2</v>
      </c>
      <c r="K23" s="127">
        <f t="shared" si="41"/>
        <v>4.8875431411442988E-2</v>
      </c>
      <c r="L23" s="127">
        <f t="shared" si="41"/>
        <v>5.1161702246419784E-2</v>
      </c>
      <c r="M23" s="127">
        <f t="shared" si="41"/>
        <v>5.3662252515457344E-2</v>
      </c>
      <c r="N23" s="127">
        <f t="shared" si="41"/>
        <v>5.6407704700525356E-2</v>
      </c>
      <c r="O23" s="127">
        <f t="shared" si="41"/>
        <v>5.9434669193982298E-2</v>
      </c>
      <c r="P23" s="300"/>
      <c r="Q23" s="300" t="s">
        <v>5</v>
      </c>
      <c r="R23" s="314">
        <f>I84</f>
        <v>160580794.97777766</v>
      </c>
      <c r="S23" s="314">
        <f t="shared" ref="S23:X23" si="42">J84</f>
        <v>163589465.61641014</v>
      </c>
      <c r="T23" s="314">
        <f t="shared" si="42"/>
        <v>160886588.30008659</v>
      </c>
      <c r="U23" s="314">
        <f t="shared" si="42"/>
        <v>180771775.76435694</v>
      </c>
      <c r="V23" s="314">
        <f t="shared" si="42"/>
        <v>204600475.24400237</v>
      </c>
      <c r="W23" s="314">
        <f t="shared" si="42"/>
        <v>233401609.39650407</v>
      </c>
      <c r="X23" s="314">
        <f t="shared" si="42"/>
        <v>268532374.72332406</v>
      </c>
      <c r="Y23" s="300"/>
      <c r="Z23" s="107"/>
      <c r="AA23" s="107"/>
      <c r="AB23" s="107"/>
      <c r="AC23" s="107"/>
      <c r="AD23" s="108" t="e">
        <f>SUM(AB22:AF22)/5</f>
        <v>#DIV/0!</v>
      </c>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row>
    <row r="24" spans="1:55" ht="25" customHeight="1" x14ac:dyDescent="0.35">
      <c r="A24" s="120" t="s">
        <v>8</v>
      </c>
      <c r="B24" s="120"/>
      <c r="C24" s="120"/>
      <c r="D24" s="120"/>
      <c r="E24" s="120"/>
      <c r="F24" s="120"/>
      <c r="G24" s="120"/>
      <c r="H24" s="121"/>
      <c r="I24" s="121">
        <f>'PHP Requirement'!D6</f>
        <v>268.6023888888887</v>
      </c>
      <c r="J24" s="275">
        <f>I24*(1-J25)</f>
        <v>260.18549870046564</v>
      </c>
      <c r="K24" s="275">
        <f t="shared" ref="K24:O24" si="43">J24*(1-K25)</f>
        <v>252.24059196870783</v>
      </c>
      <c r="L24" s="275">
        <f t="shared" si="43"/>
        <v>244.73500575887104</v>
      </c>
      <c r="M24" s="275">
        <f t="shared" si="43"/>
        <v>237.63874347239243</v>
      </c>
      <c r="N24" s="275">
        <f t="shared" si="43"/>
        <v>230.92422707921875</v>
      </c>
      <c r="O24" s="275">
        <f t="shared" si="43"/>
        <v>224.56607494861552</v>
      </c>
      <c r="P24" s="298"/>
      <c r="Q24" s="298"/>
      <c r="R24" s="298"/>
      <c r="S24" s="298"/>
      <c r="T24" s="298"/>
      <c r="U24" s="298"/>
      <c r="V24" s="298"/>
      <c r="W24" s="298"/>
      <c r="X24" s="298"/>
      <c r="Y24" s="298"/>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row>
    <row r="25" spans="1:55" ht="25" customHeight="1" x14ac:dyDescent="0.35">
      <c r="A25" s="124" t="s">
        <v>31</v>
      </c>
      <c r="B25" s="126">
        <f>B26</f>
        <v>5.3093466162770699E-2</v>
      </c>
      <c r="C25" s="126">
        <f t="shared" ref="C25:G25" si="44">C26</f>
        <v>2.3920653442240401E-2</v>
      </c>
      <c r="D25" s="126">
        <f t="shared" si="44"/>
        <v>2.3931623931624003E-2</v>
      </c>
      <c r="E25" s="126">
        <f t="shared" si="44"/>
        <v>3.9271802210033201E-2</v>
      </c>
      <c r="F25" s="126">
        <f t="shared" si="44"/>
        <v>5.8211581121395496E-2</v>
      </c>
      <c r="G25" s="126">
        <f t="shared" si="44"/>
        <v>5.9780251554140899E-2</v>
      </c>
      <c r="H25" s="126">
        <f>H26</f>
        <v>3.3000000000000002E-2</v>
      </c>
      <c r="I25" s="126">
        <f>H25*(1-$B$15)</f>
        <v>3.2157173222703082E-2</v>
      </c>
      <c r="J25" s="126">
        <f>I25*(1-$B$15)</f>
        <v>3.1335872414391883E-2</v>
      </c>
      <c r="K25" s="126">
        <f>J25*(1-$B$15)</f>
        <v>3.0535547797397661E-2</v>
      </c>
      <c r="L25" s="126">
        <f>K25*(1-$B$15)</f>
        <v>2.9755663635486245E-2</v>
      </c>
      <c r="M25" s="126">
        <f>L25*(1-$B$15)</f>
        <v>2.8995697875236912E-2</v>
      </c>
      <c r="N25" s="126">
        <f t="shared" ref="N25:O25" si="45">M25*(1-$B$15)</f>
        <v>2.8255141796580518E-2</v>
      </c>
      <c r="O25" s="126">
        <f t="shared" si="45"/>
        <v>2.753349967226296E-2</v>
      </c>
      <c r="P25" s="299"/>
      <c r="Q25" s="299"/>
      <c r="R25" s="299"/>
      <c r="S25" s="299"/>
      <c r="T25" s="299"/>
      <c r="U25" s="299"/>
      <c r="V25" s="299"/>
      <c r="W25" s="299"/>
      <c r="X25" s="299"/>
      <c r="Y25" s="299"/>
      <c r="Z25" s="107"/>
      <c r="AA25" s="107"/>
      <c r="AB25" s="107"/>
      <c r="AC25" s="107"/>
      <c r="AD25" s="106">
        <f>AVERAGE(I155:L155)</f>
        <v>9.0506365978993975E-3</v>
      </c>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row>
    <row r="26" spans="1:55" ht="25" customHeight="1" x14ac:dyDescent="0.35">
      <c r="A26" s="124" t="s">
        <v>45</v>
      </c>
      <c r="B26" s="126">
        <v>5.3093466162770699E-2</v>
      </c>
      <c r="C26" s="126">
        <v>2.3920653442240401E-2</v>
      </c>
      <c r="D26" s="126">
        <v>2.3931623931624003E-2</v>
      </c>
      <c r="E26" s="126">
        <v>3.9271802210033201E-2</v>
      </c>
      <c r="F26" s="126">
        <v>5.8211581121395496E-2</v>
      </c>
      <c r="G26" s="126">
        <v>5.9780251554140899E-2</v>
      </c>
      <c r="H26" s="130">
        <v>3.3000000000000002E-2</v>
      </c>
      <c r="I26" s="130">
        <v>0.03</v>
      </c>
      <c r="J26" s="130">
        <v>0.03</v>
      </c>
      <c r="K26" s="130">
        <v>0.03</v>
      </c>
      <c r="L26" s="130">
        <v>0.03</v>
      </c>
      <c r="M26" s="127">
        <v>0.03</v>
      </c>
      <c r="N26" s="127">
        <v>0.03</v>
      </c>
      <c r="O26" s="127">
        <v>0.03</v>
      </c>
      <c r="P26" s="300"/>
      <c r="Q26" s="300"/>
      <c r="R26" s="300"/>
      <c r="S26" s="300"/>
      <c r="T26" s="300"/>
      <c r="U26" s="300"/>
      <c r="V26" s="300"/>
      <c r="W26" s="300"/>
      <c r="X26" s="300"/>
      <c r="Y26" s="300"/>
      <c r="Z26" s="107"/>
      <c r="AA26" s="107"/>
      <c r="AB26" s="107"/>
      <c r="AC26" s="107"/>
      <c r="AD26" s="106">
        <f>AVERAGE(I156:L156)</f>
        <v>6.0349207322261234E-2</v>
      </c>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row>
    <row r="27" spans="1:55" ht="25" customHeight="1" x14ac:dyDescent="0.35">
      <c r="A27" s="120" t="s">
        <v>46</v>
      </c>
      <c r="B27" s="277">
        <f>AVERAGE(C27:H27)</f>
        <v>2.5540205372633962E-2</v>
      </c>
      <c r="C27" s="277">
        <f>C26/B26-1</f>
        <v>-0.54946144655717288</v>
      </c>
      <c r="D27" s="277">
        <f t="shared" ref="D27:H27" si="46">D26/C26-1</f>
        <v>4.5861997081697581E-4</v>
      </c>
      <c r="E27" s="277">
        <f t="shared" si="46"/>
        <v>0.64100030663352525</v>
      </c>
      <c r="F27" s="277">
        <f t="shared" si="46"/>
        <v>0.48227424883810244</v>
      </c>
      <c r="G27" s="277">
        <f t="shared" si="46"/>
        <v>2.694773793335159E-2</v>
      </c>
      <c r="H27" s="277">
        <f t="shared" si="46"/>
        <v>-0.4479782345828196</v>
      </c>
      <c r="I27" s="121">
        <f t="shared" ref="I27:O27" si="47">I17*I24</f>
        <v>434867267.61111081</v>
      </c>
      <c r="J27" s="121">
        <f t="shared" si="47"/>
        <v>443594220.84155214</v>
      </c>
      <c r="K27" s="121">
        <f t="shared" si="47"/>
        <v>451873455.41123241</v>
      </c>
      <c r="L27" s="121">
        <f t="shared" si="47"/>
        <v>417285170.9016065</v>
      </c>
      <c r="M27" s="121">
        <f t="shared" si="47"/>
        <v>386765560.58863521</v>
      </c>
      <c r="N27" s="121">
        <f t="shared" si="47"/>
        <v>359891432.49275047</v>
      </c>
      <c r="O27" s="121">
        <f t="shared" si="47"/>
        <v>336303676.02983654</v>
      </c>
      <c r="P27" s="301"/>
      <c r="Q27" s="301"/>
      <c r="R27" s="301"/>
      <c r="S27" s="301"/>
      <c r="T27" s="301"/>
      <c r="U27" s="301"/>
      <c r="V27" s="301"/>
      <c r="W27" s="301"/>
      <c r="X27" s="301"/>
      <c r="Y27" s="301"/>
      <c r="Z27" s="182"/>
      <c r="AA27" s="184">
        <f>SUM(I27:K27)</f>
        <v>1330334943.8638954</v>
      </c>
      <c r="AB27" s="182"/>
      <c r="AC27" s="107"/>
      <c r="AD27" s="107"/>
      <c r="AE27" s="107"/>
      <c r="AF27" s="107"/>
      <c r="AG27" s="107"/>
      <c r="AH27" s="107"/>
      <c r="AI27" s="107"/>
      <c r="AJ27" s="107"/>
      <c r="AK27" s="110">
        <v>2018</v>
      </c>
      <c r="AL27" s="110">
        <v>2019</v>
      </c>
      <c r="AM27" s="110">
        <v>2020</v>
      </c>
      <c r="AN27" s="110">
        <v>2021</v>
      </c>
      <c r="AO27" s="110">
        <v>2022</v>
      </c>
      <c r="AP27" s="110" t="s">
        <v>50</v>
      </c>
      <c r="AQ27" s="110" t="s">
        <v>51</v>
      </c>
      <c r="AR27" s="110" t="s">
        <v>52</v>
      </c>
      <c r="AS27" s="110" t="s">
        <v>53</v>
      </c>
      <c r="AT27" s="110" t="s">
        <v>54</v>
      </c>
      <c r="AU27" s="107"/>
      <c r="AV27" s="107"/>
      <c r="AW27" s="107"/>
      <c r="AX27" s="107"/>
      <c r="AY27" s="107"/>
      <c r="AZ27" s="107"/>
      <c r="BA27" s="107"/>
      <c r="BB27" s="107"/>
      <c r="BC27" s="107"/>
    </row>
    <row r="28" spans="1:55" s="140" customFormat="1" ht="25" customHeight="1" x14ac:dyDescent="0.35">
      <c r="A28" s="373" t="s">
        <v>55</v>
      </c>
      <c r="B28" s="374"/>
      <c r="C28" s="374"/>
      <c r="D28" s="374"/>
      <c r="E28" s="374"/>
      <c r="F28" s="374"/>
      <c r="G28" s="374"/>
      <c r="H28" s="374"/>
      <c r="I28" s="374"/>
      <c r="J28" s="374"/>
      <c r="K28" s="374"/>
      <c r="L28" s="374"/>
      <c r="M28" s="374"/>
      <c r="N28" s="374"/>
      <c r="O28" s="375"/>
      <c r="P28" s="297"/>
      <c r="Q28" s="297"/>
      <c r="R28" s="297"/>
      <c r="S28" s="297"/>
      <c r="T28" s="297"/>
      <c r="U28" s="297"/>
      <c r="V28" s="297"/>
      <c r="W28" s="297"/>
      <c r="X28" s="297"/>
      <c r="Y28" s="297"/>
      <c r="Z28" s="239"/>
      <c r="AA28" s="239"/>
      <c r="AB28" s="239"/>
      <c r="AC28" s="111"/>
      <c r="AD28" s="111"/>
      <c r="AE28" s="111"/>
      <c r="AF28" s="111"/>
      <c r="AG28" s="111"/>
      <c r="AH28" s="111"/>
      <c r="AI28" s="111"/>
      <c r="AJ28" s="107" t="s">
        <v>56</v>
      </c>
      <c r="AK28" s="109">
        <v>22610.49491097089</v>
      </c>
      <c r="AL28" s="109">
        <v>25078.761399893556</v>
      </c>
      <c r="AM28" s="109">
        <v>26708.310166984938</v>
      </c>
      <c r="AN28" s="109">
        <v>27015.499627043584</v>
      </c>
      <c r="AO28" s="109">
        <v>25975.339980175617</v>
      </c>
      <c r="AP28" s="109">
        <v>26156.937299408415</v>
      </c>
      <c r="AQ28" s="109">
        <v>26338.664264853298</v>
      </c>
      <c r="AR28" s="109">
        <v>26520.500206299643</v>
      </c>
      <c r="AS28" s="109">
        <v>26702.424147083308</v>
      </c>
      <c r="AT28" s="109">
        <v>26884.414804548302</v>
      </c>
      <c r="AU28" s="111"/>
      <c r="AV28" s="111"/>
      <c r="AW28" s="111"/>
      <c r="AX28" s="111"/>
      <c r="AY28" s="111"/>
      <c r="AZ28" s="111"/>
      <c r="BA28" s="111"/>
      <c r="BB28" s="111"/>
      <c r="BC28" s="111"/>
    </row>
    <row r="29" spans="1:55" ht="25" customHeight="1" x14ac:dyDescent="0.35">
      <c r="A29" s="120" t="s">
        <v>7</v>
      </c>
      <c r="B29" s="120"/>
      <c r="C29" s="120"/>
      <c r="D29" s="120"/>
      <c r="E29" s="120"/>
      <c r="F29" s="120"/>
      <c r="G29" s="120"/>
      <c r="H29" s="121"/>
      <c r="I29" s="121">
        <f>'PHP Requirement'!D5</f>
        <v>3718000</v>
      </c>
      <c r="J29" s="275">
        <f>I29*(1+J30)</f>
        <v>3759425.7699459959</v>
      </c>
      <c r="K29" s="275">
        <f t="shared" ref="K29:O29" si="48">J29*(1+K30)</f>
        <v>3805499.6211325307</v>
      </c>
      <c r="L29" s="275">
        <f t="shared" si="48"/>
        <v>3856551.2106568674</v>
      </c>
      <c r="M29" s="275">
        <f t="shared" si="48"/>
        <v>3912944.896142656</v>
      </c>
      <c r="N29" s="275">
        <f t="shared" si="48"/>
        <v>3975083.9592435542</v>
      </c>
      <c r="O29" s="275">
        <f t="shared" si="48"/>
        <v>4043415.4254905563</v>
      </c>
      <c r="P29" s="298"/>
      <c r="Q29" s="298"/>
      <c r="R29" s="298"/>
      <c r="S29" s="298"/>
      <c r="T29" s="298"/>
      <c r="U29" s="298"/>
      <c r="V29" s="298"/>
      <c r="W29" s="298"/>
      <c r="X29" s="298"/>
      <c r="Y29" s="298"/>
      <c r="Z29" s="107"/>
      <c r="AA29" s="107"/>
      <c r="AB29" s="107"/>
      <c r="AC29" s="107"/>
      <c r="AD29" s="106">
        <f>AVERAGE([1]cheese!E23,'[1]plant-based dairy'!E26)</f>
        <v>-3.73290443238713E-3</v>
      </c>
      <c r="AE29" s="107"/>
      <c r="AF29" s="107"/>
      <c r="AG29" s="107"/>
      <c r="AH29" s="107"/>
      <c r="AI29" s="107"/>
      <c r="AU29" s="107"/>
      <c r="AV29" s="107"/>
      <c r="AW29" s="107"/>
      <c r="AX29" s="107"/>
      <c r="AY29" s="107"/>
      <c r="AZ29" s="107"/>
      <c r="BA29" s="107"/>
      <c r="BB29" s="107"/>
      <c r="BC29" s="107"/>
    </row>
    <row r="30" spans="1:55" ht="25" customHeight="1" x14ac:dyDescent="0.35">
      <c r="A30" s="124" t="s">
        <v>31</v>
      </c>
      <c r="B30" s="120"/>
      <c r="C30" s="120"/>
      <c r="D30" s="120"/>
      <c r="E30" s="120"/>
      <c r="F30" s="120"/>
      <c r="G30" s="120"/>
      <c r="H30" s="125">
        <v>15440.3</v>
      </c>
      <c r="I30" s="126">
        <f>(1+I32)*(1+I34)-1</f>
        <v>6.8322959737758593E-2</v>
      </c>
      <c r="J30" s="126">
        <f>(1+J32)*(1+J34)*(1-J35)-1</f>
        <v>1.1141949958578756E-2</v>
      </c>
      <c r="K30" s="126">
        <f t="shared" ref="K30:O30" si="49">(1+K32)*(1+K34)*(1-K35)-1</f>
        <v>1.2255555503945192E-2</v>
      </c>
      <c r="L30" s="126">
        <f t="shared" si="49"/>
        <v>1.3415213403475068E-2</v>
      </c>
      <c r="M30" s="126">
        <f t="shared" si="49"/>
        <v>1.4622828119060127E-2</v>
      </c>
      <c r="N30" s="126">
        <f t="shared" si="49"/>
        <v>1.5880382870240295E-2</v>
      </c>
      <c r="O30" s="126">
        <f t="shared" si="49"/>
        <v>1.7189942891169929E-2</v>
      </c>
      <c r="P30" s="299"/>
      <c r="Q30" s="299"/>
      <c r="R30" s="299"/>
      <c r="S30" s="299"/>
      <c r="T30" s="299"/>
      <c r="U30" s="299"/>
      <c r="V30" s="299"/>
      <c r="W30" s="299"/>
      <c r="X30" s="299"/>
      <c r="Y30" s="299"/>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row>
    <row r="31" spans="1:55" s="140" customFormat="1" ht="25" customHeight="1" x14ac:dyDescent="0.35">
      <c r="A31" s="124" t="s">
        <v>57</v>
      </c>
      <c r="B31" s="124">
        <v>34739.199999999997</v>
      </c>
      <c r="C31" s="124">
        <v>38142.300000000003</v>
      </c>
      <c r="D31" s="124">
        <v>39770.6</v>
      </c>
      <c r="E31" s="124">
        <v>37650.6</v>
      </c>
      <c r="F31" s="124">
        <v>40703.199999999997</v>
      </c>
      <c r="G31" s="124">
        <v>42920.4</v>
      </c>
      <c r="H31" s="124">
        <v>44003.3</v>
      </c>
      <c r="I31" s="130"/>
      <c r="J31" s="130"/>
      <c r="K31" s="130"/>
      <c r="L31" s="130"/>
      <c r="M31" s="127"/>
      <c r="N31" s="127"/>
      <c r="O31" s="127"/>
      <c r="P31" s="300"/>
      <c r="Q31" s="300"/>
      <c r="R31" s="300"/>
      <c r="S31" s="300"/>
      <c r="T31" s="300"/>
      <c r="U31" s="300"/>
      <c r="V31" s="300"/>
      <c r="W31" s="300"/>
      <c r="X31" s="300"/>
      <c r="Y31" s="300"/>
      <c r="Z31" s="111"/>
      <c r="AA31" s="111"/>
      <c r="AB31" s="111"/>
      <c r="AC31" s="111"/>
      <c r="AD31" s="106">
        <f>O153/N153-1</f>
        <v>6.3006283107315486E-2</v>
      </c>
      <c r="AE31" s="106">
        <f>Z25/O153-1</f>
        <v>-1</v>
      </c>
      <c r="AF31" s="106" t="e">
        <f>AA25/Z25-1</f>
        <v>#DIV/0!</v>
      </c>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row>
    <row r="32" spans="1:55" ht="25" customHeight="1" x14ac:dyDescent="0.35">
      <c r="A32" s="127" t="s">
        <v>37</v>
      </c>
      <c r="B32" s="127">
        <f>AVERAGE(C32:H32)</f>
        <v>4.1354278770204533E-2</v>
      </c>
      <c r="C32" s="126">
        <f>C31/B31-1</f>
        <v>9.7961380803242681E-2</v>
      </c>
      <c r="D32" s="126">
        <f t="shared" ref="D32" si="50">D31/C31-1</f>
        <v>4.2690136672408174E-2</v>
      </c>
      <c r="E32" s="126">
        <f>E31/D31-1</f>
        <v>-5.3305708236737748E-2</v>
      </c>
      <c r="F32" s="126">
        <f t="shared" ref="F32:H32" si="51">F31/E31-1</f>
        <v>8.1077061188931987E-2</v>
      </c>
      <c r="G32" s="126">
        <f t="shared" si="51"/>
        <v>5.4472375636313686E-2</v>
      </c>
      <c r="H32" s="126">
        <f t="shared" si="51"/>
        <v>2.5230426557068419E-2</v>
      </c>
      <c r="I32" s="127">
        <f>H32*(1+$B$32)</f>
        <v>2.6273812650400599E-2</v>
      </c>
      <c r="J32" s="127">
        <f t="shared" ref="J32:O32" si="52">I32*(1+$B$32)</f>
        <v>2.7360347223101392E-2</v>
      </c>
      <c r="K32" s="127">
        <f t="shared" si="52"/>
        <v>2.849181464941512E-2</v>
      </c>
      <c r="L32" s="127">
        <f t="shared" si="52"/>
        <v>2.967007309509603E-2</v>
      </c>
      <c r="M32" s="127">
        <f t="shared" si="52"/>
        <v>3.0897057569002979E-2</v>
      </c>
      <c r="N32" s="127">
        <f t="shared" si="52"/>
        <v>3.2174783100890586E-2</v>
      </c>
      <c r="O32" s="127">
        <f t="shared" si="52"/>
        <v>3.3505348050615683E-2</v>
      </c>
      <c r="P32" s="300"/>
      <c r="Q32" s="300"/>
      <c r="R32" s="300"/>
      <c r="S32" s="300"/>
      <c r="T32" s="300"/>
      <c r="U32" s="300"/>
      <c r="V32" s="300"/>
      <c r="W32" s="300"/>
      <c r="X32" s="300"/>
      <c r="Y32" s="300"/>
      <c r="Z32" s="182"/>
      <c r="AA32" s="107"/>
      <c r="AB32" s="107"/>
      <c r="AC32" s="107"/>
      <c r="AD32" s="107" t="e">
        <f>SUM(AB31:AF31)/5</f>
        <v>#DIV/0!</v>
      </c>
      <c r="AE32" s="107"/>
      <c r="AF32" s="107"/>
      <c r="AG32" s="107"/>
      <c r="AH32" s="107"/>
      <c r="AI32" s="107"/>
      <c r="AJ32" s="107"/>
      <c r="AK32" s="107"/>
      <c r="AL32" s="107"/>
      <c r="AM32" s="110">
        <v>2018</v>
      </c>
      <c r="AN32" s="110">
        <v>2019</v>
      </c>
      <c r="AO32" s="110">
        <v>2020</v>
      </c>
      <c r="AP32" s="110">
        <v>2021</v>
      </c>
      <c r="AQ32" s="110">
        <v>2022</v>
      </c>
      <c r="AR32" s="110" t="s">
        <v>50</v>
      </c>
      <c r="AS32" s="107"/>
      <c r="AT32" s="107"/>
      <c r="AU32" s="107"/>
      <c r="AV32" s="107"/>
      <c r="AW32" s="107"/>
      <c r="AX32" s="107"/>
      <c r="AY32" s="107"/>
      <c r="AZ32" s="107"/>
      <c r="BA32" s="107"/>
      <c r="BB32" s="107"/>
      <c r="BC32" s="107"/>
    </row>
    <row r="33" spans="1:55" ht="25" customHeight="1" x14ac:dyDescent="0.35">
      <c r="A33" s="124" t="s">
        <v>40</v>
      </c>
      <c r="B33" s="124">
        <v>3.19</v>
      </c>
      <c r="C33" s="124">
        <v>3.15</v>
      </c>
      <c r="D33" s="124">
        <v>3.39</v>
      </c>
      <c r="E33" s="124">
        <v>3.4</v>
      </c>
      <c r="F33" s="124">
        <v>3.62</v>
      </c>
      <c r="G33" s="124">
        <v>3.89</v>
      </c>
      <c r="H33" s="127"/>
      <c r="I33" s="127"/>
      <c r="J33" s="127"/>
      <c r="K33" s="127"/>
      <c r="L33" s="127"/>
      <c r="M33" s="127"/>
      <c r="N33" s="127"/>
      <c r="O33" s="127"/>
      <c r="P33" s="300"/>
      <c r="Q33" s="300"/>
      <c r="R33" s="300"/>
      <c r="S33" s="300"/>
      <c r="T33" s="300"/>
      <c r="U33" s="300"/>
      <c r="V33" s="300"/>
      <c r="W33" s="300"/>
      <c r="X33" s="300"/>
      <c r="Y33" s="300"/>
      <c r="Z33" s="107"/>
      <c r="AA33" s="107"/>
      <c r="AB33" s="107"/>
      <c r="AC33" s="107"/>
      <c r="AD33" s="107"/>
      <c r="AE33" s="107"/>
      <c r="AF33" s="107"/>
      <c r="AG33" s="107"/>
      <c r="AH33" s="107"/>
      <c r="AI33" s="107"/>
      <c r="AJ33" s="107"/>
      <c r="AK33" s="107"/>
      <c r="AL33" s="107" t="s">
        <v>58</v>
      </c>
      <c r="AM33" s="107">
        <v>31</v>
      </c>
      <c r="AN33" s="107">
        <v>32</v>
      </c>
      <c r="AO33" s="107">
        <v>34</v>
      </c>
      <c r="AP33" s="107">
        <v>37</v>
      </c>
      <c r="AQ33" s="107">
        <v>39</v>
      </c>
      <c r="AR33" s="107">
        <v>42</v>
      </c>
      <c r="AS33" s="107"/>
      <c r="AT33" s="107"/>
      <c r="AU33" s="107"/>
      <c r="AV33" s="107"/>
      <c r="AW33" s="107"/>
      <c r="AX33" s="107"/>
      <c r="AY33" s="107"/>
      <c r="AZ33" s="107"/>
      <c r="BA33" s="107"/>
      <c r="BB33" s="107"/>
      <c r="BC33" s="107"/>
    </row>
    <row r="34" spans="1:55" ht="25" customHeight="1" x14ac:dyDescent="0.35">
      <c r="A34" s="127">
        <f>AVERAGE(C34:G34)</f>
        <v>4.1178532291386016E-2</v>
      </c>
      <c r="B34" s="124"/>
      <c r="C34" s="126">
        <f>C33/B33-1</f>
        <v>-1.2539184952978122E-2</v>
      </c>
      <c r="D34" s="126">
        <f t="shared" ref="D34" si="53">D33/C33-1</f>
        <v>7.6190476190476364E-2</v>
      </c>
      <c r="E34" s="126">
        <f>E33/D33-1</f>
        <v>2.9498525073745618E-3</v>
      </c>
      <c r="F34" s="126">
        <f t="shared" ref="F34:G34" si="54">F33/E33-1</f>
        <v>6.4705882352941169E-2</v>
      </c>
      <c r="G34" s="126">
        <f t="shared" si="54"/>
        <v>7.4585635359116109E-2</v>
      </c>
      <c r="H34" s="127">
        <f>AVERAGE($C$22:$G$22)</f>
        <v>4.1178532291386016E-2</v>
      </c>
      <c r="I34" s="127">
        <f>H34*(1-0.5%)</f>
        <v>4.0972639629929086E-2</v>
      </c>
      <c r="J34" s="127">
        <f t="shared" ref="J34:O34" si="55">AVERAGE($C$10:$G$10)</f>
        <v>4.1178532291386016E-2</v>
      </c>
      <c r="K34" s="127">
        <f t="shared" si="55"/>
        <v>4.1178532291386016E-2</v>
      </c>
      <c r="L34" s="127">
        <f t="shared" si="55"/>
        <v>4.1178532291386016E-2</v>
      </c>
      <c r="M34" s="127">
        <f t="shared" si="55"/>
        <v>4.1178532291386016E-2</v>
      </c>
      <c r="N34" s="127">
        <f t="shared" si="55"/>
        <v>4.1178532291386016E-2</v>
      </c>
      <c r="O34" s="127">
        <f t="shared" si="55"/>
        <v>4.1178532291386016E-2</v>
      </c>
      <c r="P34" s="300"/>
      <c r="Q34" s="300"/>
      <c r="R34" s="300"/>
      <c r="S34" s="300"/>
      <c r="T34" s="300"/>
      <c r="U34" s="300"/>
      <c r="V34" s="300"/>
      <c r="W34" s="300"/>
      <c r="X34" s="300"/>
      <c r="Y34" s="300"/>
      <c r="Z34" s="107"/>
      <c r="AA34" s="107"/>
      <c r="AB34" s="107"/>
      <c r="AC34" s="107"/>
      <c r="AD34" s="106">
        <f>O162/N162-1</f>
        <v>0</v>
      </c>
      <c r="AE34" s="106">
        <f>Z34/O162-1</f>
        <v>-1</v>
      </c>
      <c r="AF34" s="106" t="e">
        <f>AA34/Z34-1</f>
        <v>#DIV/0!</v>
      </c>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row>
    <row r="35" spans="1:55" ht="25" customHeight="1" x14ac:dyDescent="0.35">
      <c r="A35" s="127" t="s">
        <v>59</v>
      </c>
      <c r="B35" s="127">
        <f>'Biscuit share'!$M$33</f>
        <v>5.4712044460185086E-2</v>
      </c>
      <c r="C35" s="127">
        <f>'Biscuit share'!$M$33</f>
        <v>5.4712044460185086E-2</v>
      </c>
      <c r="D35" s="127">
        <f>'Biscuit share'!$M$33</f>
        <v>5.4712044460185086E-2</v>
      </c>
      <c r="E35" s="127">
        <f>'Biscuit share'!$M$33</f>
        <v>5.4712044460185086E-2</v>
      </c>
      <c r="F35" s="127">
        <f>'Biscuit share'!$M$33</f>
        <v>5.4712044460185086E-2</v>
      </c>
      <c r="G35" s="127">
        <f>'Biscuit share'!$M$33</f>
        <v>5.4712044460185086E-2</v>
      </c>
      <c r="H35" s="127">
        <f>'Biscuit share'!$M$33</f>
        <v>5.4712044460185086E-2</v>
      </c>
      <c r="I35" s="127">
        <f>'Biscuit share'!$M$33</f>
        <v>5.4712044460185086E-2</v>
      </c>
      <c r="J35" s="127">
        <f>'Biscuit share'!$M$33</f>
        <v>5.4712044460185086E-2</v>
      </c>
      <c r="K35" s="127">
        <f>'Biscuit share'!$M$33</f>
        <v>5.4712044460185086E-2</v>
      </c>
      <c r="L35" s="127">
        <f>'Biscuit share'!$M$33</f>
        <v>5.4712044460185086E-2</v>
      </c>
      <c r="M35" s="127">
        <f>'Biscuit share'!$M$33</f>
        <v>5.4712044460185086E-2</v>
      </c>
      <c r="N35" s="127">
        <f>'Biscuit share'!$M$33</f>
        <v>5.4712044460185086E-2</v>
      </c>
      <c r="O35" s="127">
        <f>'Biscuit share'!$M$33</f>
        <v>5.4712044460185086E-2</v>
      </c>
      <c r="P35" s="300"/>
      <c r="Q35" s="300"/>
      <c r="R35" s="300"/>
      <c r="S35" s="300"/>
      <c r="T35" s="300"/>
      <c r="U35" s="300"/>
      <c r="V35" s="300"/>
      <c r="W35" s="300"/>
      <c r="X35" s="300"/>
      <c r="Y35" s="300"/>
      <c r="Z35" s="107"/>
      <c r="AA35" s="107"/>
      <c r="AB35" s="107"/>
      <c r="AC35" s="107"/>
      <c r="AD35" s="107" t="e">
        <f>SUM(AB34:AF34)/5</f>
        <v>#DIV/0!</v>
      </c>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row>
    <row r="36" spans="1:55" ht="25" customHeight="1" x14ac:dyDescent="0.35">
      <c r="A36" s="120" t="s">
        <v>8</v>
      </c>
      <c r="B36" s="120"/>
      <c r="C36" s="120"/>
      <c r="D36" s="120"/>
      <c r="E36" s="120"/>
      <c r="F36" s="120"/>
      <c r="G36" s="120"/>
      <c r="H36" s="121"/>
      <c r="I36" s="121">
        <f>'PHP Requirement'!E6</f>
        <v>280.03227777777755</v>
      </c>
      <c r="J36" s="275">
        <f>I36*(1-J37)</f>
        <v>271.25722204942156</v>
      </c>
      <c r="K36" s="275">
        <f t="shared" ref="K36:O36" si="56">J36*(1-K37)</f>
        <v>262.97423418014216</v>
      </c>
      <c r="L36" s="275">
        <f t="shared" si="56"/>
        <v>255.14926132307826</v>
      </c>
      <c r="M36" s="275">
        <f t="shared" si="56"/>
        <v>247.75103042866442</v>
      </c>
      <c r="N36" s="275">
        <f t="shared" si="56"/>
        <v>240.75078993365358</v>
      </c>
      <c r="O36" s="275">
        <f t="shared" si="56"/>
        <v>234.12207813791829</v>
      </c>
      <c r="P36" s="298"/>
      <c r="Q36" s="298"/>
      <c r="R36" s="298"/>
      <c r="S36" s="298"/>
      <c r="T36" s="298"/>
      <c r="U36" s="298"/>
      <c r="V36" s="298"/>
      <c r="W36" s="298"/>
      <c r="X36" s="298"/>
      <c r="Y36" s="298"/>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row>
    <row r="37" spans="1:55" ht="25" customHeight="1" x14ac:dyDescent="0.35">
      <c r="A37" s="124" t="s">
        <v>31</v>
      </c>
      <c r="B37" s="126">
        <f>B38</f>
        <v>5.3093466162770699E-2</v>
      </c>
      <c r="C37" s="126">
        <f t="shared" ref="C37:G37" si="57">C38</f>
        <v>2.3920653442240401E-2</v>
      </c>
      <c r="D37" s="126">
        <f t="shared" si="57"/>
        <v>2.3931623931624003E-2</v>
      </c>
      <c r="E37" s="126">
        <f t="shared" si="57"/>
        <v>3.9271802210033201E-2</v>
      </c>
      <c r="F37" s="126">
        <f t="shared" si="57"/>
        <v>5.8211581121395496E-2</v>
      </c>
      <c r="G37" s="126">
        <f t="shared" si="57"/>
        <v>5.9780251554140899E-2</v>
      </c>
      <c r="H37" s="126">
        <f>H38</f>
        <v>3.3000000000000002E-2</v>
      </c>
      <c r="I37" s="126">
        <f>H37*(1-$B$15)</f>
        <v>3.2157173222703082E-2</v>
      </c>
      <c r="J37" s="126">
        <f>I37*(1-$B$15)</f>
        <v>3.1335872414391883E-2</v>
      </c>
      <c r="K37" s="126">
        <f>J37*(1-$B$15)</f>
        <v>3.0535547797397661E-2</v>
      </c>
      <c r="L37" s="126">
        <f>K37*(1-$B$15)</f>
        <v>2.9755663635486245E-2</v>
      </c>
      <c r="M37" s="126">
        <f>L37*(1-$B$15)</f>
        <v>2.8995697875236912E-2</v>
      </c>
      <c r="N37" s="126">
        <f t="shared" ref="N37:O37" si="58">M37*(1-$B$15)</f>
        <v>2.8255141796580518E-2</v>
      </c>
      <c r="O37" s="126">
        <f t="shared" si="58"/>
        <v>2.753349967226296E-2</v>
      </c>
      <c r="P37" s="299"/>
      <c r="Q37" s="299"/>
      <c r="R37" s="299"/>
      <c r="S37" s="299"/>
      <c r="T37" s="299"/>
      <c r="U37" s="299"/>
      <c r="V37" s="299"/>
      <c r="W37" s="299"/>
      <c r="X37" s="299"/>
      <c r="Y37" s="299"/>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row>
    <row r="38" spans="1:55" ht="25" customHeight="1" x14ac:dyDescent="0.35">
      <c r="A38" s="124" t="s">
        <v>45</v>
      </c>
      <c r="B38" s="126">
        <v>5.3093466162770699E-2</v>
      </c>
      <c r="C38" s="126">
        <v>2.3920653442240401E-2</v>
      </c>
      <c r="D38" s="126">
        <v>2.3931623931624003E-2</v>
      </c>
      <c r="E38" s="126">
        <v>3.9271802210033201E-2</v>
      </c>
      <c r="F38" s="126">
        <v>5.8211581121395496E-2</v>
      </c>
      <c r="G38" s="126">
        <v>5.9780251554140899E-2</v>
      </c>
      <c r="H38" s="130">
        <v>3.3000000000000002E-2</v>
      </c>
      <c r="I38" s="130">
        <v>0.03</v>
      </c>
      <c r="J38" s="130">
        <v>0.03</v>
      </c>
      <c r="K38" s="130">
        <v>0.03</v>
      </c>
      <c r="L38" s="130">
        <v>0.03</v>
      </c>
      <c r="M38" s="127">
        <v>0.03</v>
      </c>
      <c r="N38" s="127">
        <v>0.03</v>
      </c>
      <c r="O38" s="127">
        <v>0.03</v>
      </c>
      <c r="P38" s="300"/>
      <c r="Q38" s="300"/>
      <c r="R38" s="300"/>
      <c r="S38" s="300"/>
      <c r="T38" s="300"/>
      <c r="U38" s="300"/>
      <c r="V38" s="300"/>
      <c r="W38" s="300"/>
      <c r="X38" s="300"/>
      <c r="Y38" s="300"/>
      <c r="Z38" s="107"/>
      <c r="AA38" s="107"/>
      <c r="AB38" s="107"/>
      <c r="AC38" s="107"/>
      <c r="AD38" s="107">
        <v>6</v>
      </c>
      <c r="AE38" s="107">
        <v>6</v>
      </c>
      <c r="AF38" s="107">
        <v>5</v>
      </c>
      <c r="AG38" s="107">
        <v>5</v>
      </c>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row>
    <row r="39" spans="1:55" ht="25" customHeight="1" x14ac:dyDescent="0.35">
      <c r="A39" s="120" t="s">
        <v>46</v>
      </c>
      <c r="B39" s="277">
        <f>AVERAGE(C39:H39)</f>
        <v>2.5540205372633962E-2</v>
      </c>
      <c r="C39" s="277">
        <f>C38/B38-1</f>
        <v>-0.54946144655717288</v>
      </c>
      <c r="D39" s="277">
        <f t="shared" ref="D39:H39" si="59">D38/C38-1</f>
        <v>4.5861997081697581E-4</v>
      </c>
      <c r="E39" s="277">
        <f t="shared" si="59"/>
        <v>0.64100030663352525</v>
      </c>
      <c r="F39" s="277">
        <f t="shared" si="59"/>
        <v>0.48227424883810244</v>
      </c>
      <c r="G39" s="277">
        <f t="shared" si="59"/>
        <v>2.694773793335159E-2</v>
      </c>
      <c r="H39" s="277">
        <f t="shared" si="59"/>
        <v>-0.4479782345828196</v>
      </c>
      <c r="I39" s="121">
        <f t="shared" ref="I39:O39" si="60">I29*I36</f>
        <v>1041160008.777777</v>
      </c>
      <c r="J39" s="121">
        <f t="shared" si="60"/>
        <v>1019771390.8565586</v>
      </c>
      <c r="K39" s="121">
        <f t="shared" si="60"/>
        <v>1000748348.5401484</v>
      </c>
      <c r="L39" s="121">
        <f t="shared" si="60"/>
        <v>983996192.65372288</v>
      </c>
      <c r="M39" s="121">
        <f t="shared" si="60"/>
        <v>969436130.0299263</v>
      </c>
      <c r="N39" s="121">
        <f t="shared" si="60"/>
        <v>957004603.2404809</v>
      </c>
      <c r="O39" s="121">
        <f t="shared" si="60"/>
        <v>946652822.19076419</v>
      </c>
      <c r="P39" s="301"/>
      <c r="Q39" s="301"/>
      <c r="R39" s="301"/>
      <c r="S39" s="301"/>
      <c r="T39" s="301"/>
      <c r="U39" s="301"/>
      <c r="V39" s="301"/>
      <c r="W39" s="301"/>
      <c r="X39" s="301"/>
      <c r="Y39" s="301"/>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row>
    <row r="40" spans="1:55" ht="25" customHeight="1" x14ac:dyDescent="0.35">
      <c r="A40" s="373" t="s">
        <v>5</v>
      </c>
      <c r="B40" s="374"/>
      <c r="C40" s="374"/>
      <c r="D40" s="374"/>
      <c r="E40" s="374"/>
      <c r="F40" s="374"/>
      <c r="G40" s="374"/>
      <c r="H40" s="374"/>
      <c r="I40" s="374"/>
      <c r="J40" s="374"/>
      <c r="K40" s="374"/>
      <c r="L40" s="374"/>
      <c r="M40" s="374"/>
      <c r="N40" s="374"/>
      <c r="O40" s="375"/>
      <c r="P40" s="297"/>
      <c r="Q40" s="297"/>
      <c r="R40" s="297"/>
      <c r="S40" s="297"/>
      <c r="T40" s="297"/>
      <c r="U40" s="297"/>
      <c r="V40" s="297"/>
      <c r="W40" s="297"/>
      <c r="X40" s="297"/>
      <c r="Y40" s="29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row>
    <row r="41" spans="1:55" ht="25" customHeight="1" x14ac:dyDescent="0.35">
      <c r="A41" s="120" t="s">
        <v>7</v>
      </c>
      <c r="B41" s="120"/>
      <c r="C41" s="120"/>
      <c r="D41" s="120"/>
      <c r="E41" s="120"/>
      <c r="F41" s="120"/>
      <c r="G41" s="120"/>
      <c r="H41" s="121"/>
      <c r="I41" s="121">
        <f>'PHP Requirement'!F5</f>
        <v>1133000</v>
      </c>
      <c r="J41" s="275">
        <f>I41*(1+J42)</f>
        <v>1177571.6184087007</v>
      </c>
      <c r="K41" s="275">
        <f t="shared" ref="K41:O41" si="61">J41*(1+K42)</f>
        <v>1231542.9371546488</v>
      </c>
      <c r="L41" s="275">
        <f t="shared" si="61"/>
        <v>1296697.0991489172</v>
      </c>
      <c r="M41" s="275">
        <f t="shared" si="61"/>
        <v>1375285.1470040227</v>
      </c>
      <c r="N41" s="275">
        <f t="shared" si="61"/>
        <v>1470172.0444348566</v>
      </c>
      <c r="O41" s="275">
        <f t="shared" si="61"/>
        <v>1585036.1289905501</v>
      </c>
      <c r="P41" s="298"/>
      <c r="Q41" s="298"/>
      <c r="R41" s="298"/>
      <c r="S41" s="298"/>
      <c r="T41" s="298"/>
      <c r="U41" s="298"/>
      <c r="V41" s="298"/>
      <c r="W41" s="298"/>
      <c r="X41" s="298"/>
      <c r="Y41" s="298"/>
      <c r="Z41" s="107"/>
      <c r="AA41" s="107"/>
      <c r="AB41" s="107"/>
      <c r="AC41" s="107"/>
      <c r="AD41" s="106">
        <f>AVERAGE(I163:L163)</f>
        <v>3.6980588975147666E-2</v>
      </c>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row>
    <row r="42" spans="1:55" ht="25" customHeight="1" x14ac:dyDescent="0.35">
      <c r="A42" s="124" t="s">
        <v>31</v>
      </c>
      <c r="B42" s="120"/>
      <c r="C42" s="120"/>
      <c r="D42" s="120"/>
      <c r="E42" s="120"/>
      <c r="F42" s="120"/>
      <c r="G42" s="120"/>
      <c r="H42" s="125">
        <v>15440.3</v>
      </c>
      <c r="I42" s="126">
        <f>(1+I44)*(1+I46)-1</f>
        <v>0.11305054743886433</v>
      </c>
      <c r="J42" s="126">
        <f>(1+J44)*(1+J46)*(1-J47)-1</f>
        <v>3.9339469027979357E-2</v>
      </c>
      <c r="K42" s="126">
        <f t="shared" ref="K42:O42" si="62">(1+K44)*(1+K46)*(1-K47)-1</f>
        <v>4.5832727200814993E-2</v>
      </c>
      <c r="L42" s="126">
        <f t="shared" si="62"/>
        <v>5.2904498924576826E-2</v>
      </c>
      <c r="M42" s="126">
        <f t="shared" si="62"/>
        <v>6.0606326571322144E-2</v>
      </c>
      <c r="N42" s="126">
        <f t="shared" si="62"/>
        <v>6.8994344654662587E-2</v>
      </c>
      <c r="O42" s="126">
        <f t="shared" si="62"/>
        <v>7.8129688964292621E-2</v>
      </c>
      <c r="P42" s="299"/>
      <c r="Q42" s="299"/>
      <c r="R42" s="299"/>
      <c r="S42" s="299"/>
      <c r="T42" s="299"/>
      <c r="U42" s="299"/>
      <c r="V42" s="299"/>
      <c r="W42" s="299"/>
      <c r="X42" s="299"/>
      <c r="Y42" s="299"/>
      <c r="Z42" s="107"/>
      <c r="AA42" s="107" t="s">
        <v>60</v>
      </c>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row>
    <row r="43" spans="1:55" ht="25" customHeight="1" x14ac:dyDescent="0.35">
      <c r="A43" s="124" t="s">
        <v>61</v>
      </c>
      <c r="B43" s="124">
        <v>13267.8</v>
      </c>
      <c r="C43" s="124">
        <v>14684</v>
      </c>
      <c r="D43" s="124">
        <v>16463.599999999999</v>
      </c>
      <c r="E43" s="124">
        <v>17617.2</v>
      </c>
      <c r="F43" s="124">
        <v>20064</v>
      </c>
      <c r="G43" s="124">
        <v>20748.2</v>
      </c>
      <c r="H43" s="124">
        <v>22067.3</v>
      </c>
      <c r="I43" s="130"/>
      <c r="J43" s="130"/>
      <c r="K43" s="130"/>
      <c r="L43" s="130"/>
      <c r="M43" s="127"/>
      <c r="N43" s="127"/>
      <c r="O43" s="127"/>
      <c r="P43" s="300"/>
      <c r="Q43" s="300"/>
      <c r="R43" s="300"/>
      <c r="S43" s="300"/>
      <c r="T43" s="300"/>
      <c r="U43" s="300"/>
      <c r="V43" s="300"/>
      <c r="W43" s="300"/>
      <c r="X43" s="300"/>
      <c r="Y43" s="300"/>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row>
    <row r="44" spans="1:55" ht="25" customHeight="1" x14ac:dyDescent="0.35">
      <c r="A44" s="127" t="s">
        <v>37</v>
      </c>
      <c r="B44" s="127">
        <f>AVERAGE(C44:H44)</f>
        <v>8.9094493939380445E-2</v>
      </c>
      <c r="C44" s="126">
        <f>C43/B43-1</f>
        <v>0.10673962525814384</v>
      </c>
      <c r="D44" s="126">
        <f t="shared" ref="D44" si="63">D43/C43-1</f>
        <v>0.1211931353854534</v>
      </c>
      <c r="E44" s="126">
        <f>E43/D43-1</f>
        <v>7.0069729585267027E-2</v>
      </c>
      <c r="F44" s="126">
        <f t="shared" ref="F44:G44" si="64">F43/E43-1</f>
        <v>0.13888699679858307</v>
      </c>
      <c r="G44" s="126">
        <f t="shared" si="64"/>
        <v>3.4100877192982493E-2</v>
      </c>
      <c r="H44" s="126">
        <f>H43/G43-1</f>
        <v>6.3576599415852808E-2</v>
      </c>
      <c r="I44" s="127">
        <f>H44*(1+$B$44)</f>
        <v>6.9240924367194923E-2</v>
      </c>
      <c r="J44" s="127">
        <f>I44*(1+$B$44)</f>
        <v>7.5409909483585072E-2</v>
      </c>
      <c r="K44" s="127">
        <f>J44*(1+$B$44)</f>
        <v>8.2128517207039578E-2</v>
      </c>
      <c r="L44" s="127">
        <f t="shared" ref="L44:O44" si="65">K44*(1+$B$44)</f>
        <v>8.9445715885592469E-2</v>
      </c>
      <c r="M44" s="127">
        <f t="shared" si="65"/>
        <v>9.7414836677464936E-2</v>
      </c>
      <c r="N44" s="127">
        <f t="shared" si="65"/>
        <v>0.10609396225343108</v>
      </c>
      <c r="O44" s="127">
        <f t="shared" si="65"/>
        <v>0.11554635013042426</v>
      </c>
      <c r="P44" s="300"/>
      <c r="Q44" s="300"/>
      <c r="R44" s="300"/>
      <c r="S44" s="300"/>
      <c r="T44" s="300"/>
      <c r="U44" s="300"/>
      <c r="V44" s="300"/>
      <c r="W44" s="300"/>
      <c r="X44" s="300"/>
      <c r="Y44" s="300"/>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row>
    <row r="45" spans="1:55" ht="25" customHeight="1" x14ac:dyDescent="0.35">
      <c r="A45" s="124" t="s">
        <v>40</v>
      </c>
      <c r="B45" s="124">
        <v>3.19</v>
      </c>
      <c r="C45" s="124">
        <v>3.15</v>
      </c>
      <c r="D45" s="124">
        <v>3.39</v>
      </c>
      <c r="E45" s="124">
        <v>3.4</v>
      </c>
      <c r="F45" s="124">
        <v>3.62</v>
      </c>
      <c r="G45" s="124">
        <v>3.89</v>
      </c>
      <c r="H45" s="127"/>
      <c r="I45" s="127"/>
      <c r="J45" s="127"/>
      <c r="K45" s="127"/>
      <c r="L45" s="127"/>
      <c r="M45" s="127"/>
      <c r="N45" s="127"/>
      <c r="O45" s="127"/>
      <c r="P45" s="300"/>
      <c r="Q45" s="300"/>
      <c r="R45" s="300"/>
      <c r="S45" s="300"/>
      <c r="T45" s="300"/>
      <c r="U45" s="300"/>
      <c r="V45" s="300"/>
      <c r="W45" s="300"/>
      <c r="X45" s="300"/>
      <c r="Y45" s="300"/>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row>
    <row r="46" spans="1:55" ht="91.5" customHeight="1" x14ac:dyDescent="0.35">
      <c r="A46" s="127">
        <f>AVERAGE(C46:G46)</f>
        <v>4.1178532291386016E-2</v>
      </c>
      <c r="B46" s="124"/>
      <c r="C46" s="126">
        <f>C45/B45-1</f>
        <v>-1.2539184952978122E-2</v>
      </c>
      <c r="D46" s="126">
        <f t="shared" ref="D46" si="66">D45/C45-1</f>
        <v>7.6190476190476364E-2</v>
      </c>
      <c r="E46" s="126">
        <f>E45/D45-1</f>
        <v>2.9498525073745618E-3</v>
      </c>
      <c r="F46" s="126">
        <f t="shared" ref="F46:G46" si="67">F45/E45-1</f>
        <v>6.4705882352941169E-2</v>
      </c>
      <c r="G46" s="126">
        <f t="shared" si="67"/>
        <v>7.4585635359116109E-2</v>
      </c>
      <c r="H46" s="127">
        <f>AVERAGE($C$22:$G$22)</f>
        <v>4.1178532291386016E-2</v>
      </c>
      <c r="I46" s="127">
        <f>H46*(1-0.5%)</f>
        <v>4.0972639629929086E-2</v>
      </c>
      <c r="J46" s="127">
        <f t="shared" ref="J46:O46" si="68">AVERAGE($C$10:$G$10)</f>
        <v>4.1178532291386016E-2</v>
      </c>
      <c r="K46" s="127">
        <f t="shared" si="68"/>
        <v>4.1178532291386016E-2</v>
      </c>
      <c r="L46" s="127">
        <f t="shared" si="68"/>
        <v>4.1178532291386016E-2</v>
      </c>
      <c r="M46" s="127">
        <f t="shared" si="68"/>
        <v>4.1178532291386016E-2</v>
      </c>
      <c r="N46" s="127">
        <f t="shared" si="68"/>
        <v>4.1178532291386016E-2</v>
      </c>
      <c r="O46" s="127">
        <f t="shared" si="68"/>
        <v>4.1178532291386016E-2</v>
      </c>
      <c r="P46" s="300"/>
      <c r="Q46" s="300"/>
      <c r="R46" s="300"/>
      <c r="S46" s="300"/>
      <c r="T46" s="300"/>
      <c r="U46" s="300"/>
      <c r="V46" s="300"/>
      <c r="W46" s="300"/>
      <c r="X46" s="300"/>
      <c r="Y46" s="300"/>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row>
    <row r="47" spans="1:55" ht="25" customHeight="1" x14ac:dyDescent="0.35">
      <c r="A47" s="127" t="s">
        <v>62</v>
      </c>
      <c r="B47" s="127">
        <f>'Savoury snacks'!$O$28</f>
        <v>7.1764484642813944E-2</v>
      </c>
      <c r="C47" s="127">
        <f>'Savoury snacks'!$O$28</f>
        <v>7.1764484642813944E-2</v>
      </c>
      <c r="D47" s="127">
        <f>'Savoury snacks'!$O$28</f>
        <v>7.1764484642813944E-2</v>
      </c>
      <c r="E47" s="127">
        <f>'Savoury snacks'!$O$28</f>
        <v>7.1764484642813944E-2</v>
      </c>
      <c r="F47" s="127">
        <f>'Savoury snacks'!$O$28</f>
        <v>7.1764484642813944E-2</v>
      </c>
      <c r="G47" s="127">
        <f>'Savoury snacks'!$O$28</f>
        <v>7.1764484642813944E-2</v>
      </c>
      <c r="H47" s="127">
        <f>'Savoury snacks'!$O$28</f>
        <v>7.1764484642813944E-2</v>
      </c>
      <c r="I47" s="127">
        <f>'Savoury snacks'!$O$28</f>
        <v>7.1764484642813944E-2</v>
      </c>
      <c r="J47" s="127">
        <f>'Savoury snacks'!$O$28</f>
        <v>7.1764484642813944E-2</v>
      </c>
      <c r="K47" s="127">
        <f>'Savoury snacks'!$O$28</f>
        <v>7.1764484642813944E-2</v>
      </c>
      <c r="L47" s="127">
        <f>'Savoury snacks'!$O$28</f>
        <v>7.1764484642813944E-2</v>
      </c>
      <c r="M47" s="127">
        <f>'Savoury snacks'!$O$28</f>
        <v>7.1764484642813944E-2</v>
      </c>
      <c r="N47" s="127">
        <f>'Savoury snacks'!$O$28</f>
        <v>7.1764484642813944E-2</v>
      </c>
      <c r="O47" s="127">
        <f>'Savoury snacks'!$O$28</f>
        <v>7.1764484642813944E-2</v>
      </c>
      <c r="P47" s="300"/>
      <c r="Q47" s="300"/>
      <c r="R47" s="300"/>
      <c r="S47" s="300"/>
      <c r="T47" s="300"/>
      <c r="U47" s="300"/>
      <c r="V47" s="300"/>
      <c r="W47" s="300"/>
      <c r="X47" s="300"/>
      <c r="Y47" s="300"/>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row>
    <row r="48" spans="1:55" ht="25" customHeight="1" x14ac:dyDescent="0.35">
      <c r="A48" s="120" t="s">
        <v>8</v>
      </c>
      <c r="B48" s="120"/>
      <c r="C48" s="120"/>
      <c r="D48" s="120"/>
      <c r="E48" s="120"/>
      <c r="F48" s="120"/>
      <c r="G48" s="120"/>
      <c r="H48" s="121"/>
      <c r="I48" s="121">
        <f>'PHP Requirement'!F6</f>
        <v>302.89205555555532</v>
      </c>
      <c r="J48" s="275">
        <f>I48*(1-J49)</f>
        <v>293.40066874733355</v>
      </c>
      <c r="K48" s="275">
        <f t="shared" ref="K48:O48" si="69">J48*(1-K49)</f>
        <v>284.44151860301093</v>
      </c>
      <c r="L48" s="275">
        <f t="shared" si="69"/>
        <v>275.97777245149285</v>
      </c>
      <c r="M48" s="275">
        <f t="shared" si="69"/>
        <v>267.97560434120851</v>
      </c>
      <c r="N48" s="275">
        <f t="shared" si="69"/>
        <v>260.40391564252332</v>
      </c>
      <c r="O48" s="275">
        <f t="shared" si="69"/>
        <v>253.23408451652392</v>
      </c>
      <c r="P48" s="298"/>
      <c r="Q48" s="298"/>
      <c r="R48" s="298"/>
      <c r="S48" s="298"/>
      <c r="T48" s="298"/>
      <c r="U48" s="298"/>
      <c r="V48" s="298"/>
      <c r="W48" s="298"/>
      <c r="X48" s="298"/>
      <c r="Y48" s="298"/>
      <c r="Z48" s="107"/>
      <c r="AA48" s="107"/>
      <c r="AB48" s="107"/>
      <c r="AC48" s="107"/>
      <c r="AD48" s="107">
        <f>AE49/AD49-1</f>
        <v>8.6546586209067522E-2</v>
      </c>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row>
    <row r="49" spans="1:55" ht="25" customHeight="1" x14ac:dyDescent="0.35">
      <c r="A49" s="124" t="s">
        <v>31</v>
      </c>
      <c r="B49" s="126">
        <f>B50</f>
        <v>5.3093466162770699E-2</v>
      </c>
      <c r="C49" s="126">
        <f t="shared" ref="C49:G49" si="70">C50</f>
        <v>2.3920653442240401E-2</v>
      </c>
      <c r="D49" s="126">
        <f t="shared" si="70"/>
        <v>2.3931623931624003E-2</v>
      </c>
      <c r="E49" s="126">
        <f t="shared" si="70"/>
        <v>3.9271802210033201E-2</v>
      </c>
      <c r="F49" s="126">
        <f t="shared" si="70"/>
        <v>5.8211581121395496E-2</v>
      </c>
      <c r="G49" s="126">
        <f t="shared" si="70"/>
        <v>5.9780251554140899E-2</v>
      </c>
      <c r="H49" s="126">
        <f>H50</f>
        <v>3.3000000000000002E-2</v>
      </c>
      <c r="I49" s="126">
        <f>H49*(1-$B$15)</f>
        <v>3.2157173222703082E-2</v>
      </c>
      <c r="J49" s="126">
        <f>I49*(1-$B$15)</f>
        <v>3.1335872414391883E-2</v>
      </c>
      <c r="K49" s="126">
        <f>J49*(1-$B$15)</f>
        <v>3.0535547797397661E-2</v>
      </c>
      <c r="L49" s="126">
        <f>K49*(1-$B$15)</f>
        <v>2.9755663635486245E-2</v>
      </c>
      <c r="M49" s="126">
        <f>L49*(1-$B$15)</f>
        <v>2.8995697875236912E-2</v>
      </c>
      <c r="N49" s="126">
        <f t="shared" ref="N49:O49" si="71">M49*(1-$B$15)</f>
        <v>2.8255141796580518E-2</v>
      </c>
      <c r="O49" s="126">
        <f t="shared" si="71"/>
        <v>2.753349967226296E-2</v>
      </c>
      <c r="P49" s="299"/>
      <c r="Q49" s="299"/>
      <c r="R49" s="299"/>
      <c r="S49" s="299"/>
      <c r="T49" s="299"/>
      <c r="U49" s="299"/>
      <c r="V49" s="299"/>
      <c r="W49" s="299"/>
      <c r="X49" s="299"/>
      <c r="Y49" s="299"/>
      <c r="Z49" s="240"/>
      <c r="AA49" s="240"/>
      <c r="AB49" s="107"/>
      <c r="AC49" s="107"/>
      <c r="AD49" s="38">
        <v>1103472820884</v>
      </c>
      <c r="AE49" s="38">
        <v>1198974626506</v>
      </c>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row>
    <row r="50" spans="1:55" s="145" customFormat="1" ht="25" customHeight="1" x14ac:dyDescent="0.35">
      <c r="A50" s="124" t="s">
        <v>45</v>
      </c>
      <c r="B50" s="126">
        <v>5.3093466162770699E-2</v>
      </c>
      <c r="C50" s="126">
        <v>2.3920653442240401E-2</v>
      </c>
      <c r="D50" s="126">
        <v>2.3931623931624003E-2</v>
      </c>
      <c r="E50" s="126">
        <v>3.9271802210033201E-2</v>
      </c>
      <c r="F50" s="126">
        <v>5.8211581121395496E-2</v>
      </c>
      <c r="G50" s="126">
        <v>5.9780251554140899E-2</v>
      </c>
      <c r="H50" s="130">
        <v>3.3000000000000002E-2</v>
      </c>
      <c r="I50" s="130">
        <v>0.03</v>
      </c>
      <c r="J50" s="130">
        <v>0.03</v>
      </c>
      <c r="K50" s="130">
        <v>0.03</v>
      </c>
      <c r="L50" s="130">
        <v>0.03</v>
      </c>
      <c r="M50" s="127">
        <v>0.03</v>
      </c>
      <c r="N50" s="127">
        <v>0.03</v>
      </c>
      <c r="O50" s="127">
        <v>0.03</v>
      </c>
      <c r="P50" s="300"/>
      <c r="Q50" s="300"/>
      <c r="R50" s="300"/>
      <c r="S50" s="300"/>
      <c r="T50" s="300"/>
      <c r="U50" s="300"/>
      <c r="V50" s="300"/>
      <c r="W50" s="300"/>
      <c r="X50" s="300"/>
      <c r="Y50" s="300"/>
      <c r="Z50" s="107"/>
      <c r="AA50" s="107"/>
      <c r="AB50" s="107"/>
      <c r="AC50" s="236"/>
      <c r="AD50" s="145" t="s">
        <v>63</v>
      </c>
    </row>
    <row r="51" spans="1:55" s="147" customFormat="1" ht="25" customHeight="1" x14ac:dyDescent="0.35">
      <c r="A51" s="120" t="s">
        <v>46</v>
      </c>
      <c r="B51" s="277">
        <f>AVERAGE(C51:H51)</f>
        <v>2.5540205372633962E-2</v>
      </c>
      <c r="C51" s="277">
        <f>C50/B50-1</f>
        <v>-0.54946144655717288</v>
      </c>
      <c r="D51" s="277">
        <f t="shared" ref="D51:H51" si="72">D50/C50-1</f>
        <v>4.5861997081697581E-4</v>
      </c>
      <c r="E51" s="277">
        <f t="shared" si="72"/>
        <v>0.64100030663352525</v>
      </c>
      <c r="F51" s="277">
        <f t="shared" si="72"/>
        <v>0.48227424883810244</v>
      </c>
      <c r="G51" s="277">
        <f t="shared" si="72"/>
        <v>2.694773793335159E-2</v>
      </c>
      <c r="H51" s="277">
        <f t="shared" si="72"/>
        <v>-0.4479782345828196</v>
      </c>
      <c r="I51" s="121">
        <f t="shared" ref="I51:O51" si="73">I41*I48</f>
        <v>343176698.94444418</v>
      </c>
      <c r="J51" s="121">
        <f t="shared" si="73"/>
        <v>345500300.33899266</v>
      </c>
      <c r="K51" s="121">
        <f t="shared" si="73"/>
        <v>350301943.26908076</v>
      </c>
      <c r="L51" s="121">
        <f t="shared" si="73"/>
        <v>357859576.96743077</v>
      </c>
      <c r="M51" s="121">
        <f t="shared" si="73"/>
        <v>368542868.40989077</v>
      </c>
      <c r="N51" s="121">
        <f t="shared" si="73"/>
        <v>382838557.03901047</v>
      </c>
      <c r="O51" s="121">
        <f t="shared" si="73"/>
        <v>401385173.05053687</v>
      </c>
      <c r="P51" s="301"/>
      <c r="Q51" s="301"/>
      <c r="R51" s="301"/>
      <c r="S51" s="301"/>
      <c r="T51" s="301"/>
      <c r="U51" s="301"/>
      <c r="V51" s="301"/>
      <c r="W51" s="301"/>
      <c r="X51" s="301"/>
      <c r="Y51" s="301"/>
      <c r="Z51" s="107"/>
      <c r="AA51" s="107"/>
      <c r="AB51" s="107"/>
      <c r="AC51" s="237"/>
      <c r="AD51" s="146">
        <v>2022</v>
      </c>
      <c r="AE51" s="146">
        <v>2023</v>
      </c>
      <c r="AF51" s="146" t="s">
        <v>64</v>
      </c>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row>
    <row r="52" spans="1:55" s="147" customFormat="1" ht="105" customHeight="1" x14ac:dyDescent="0.35">
      <c r="A52" s="376" t="s">
        <v>13</v>
      </c>
      <c r="B52" s="377"/>
      <c r="C52" s="377"/>
      <c r="D52" s="377"/>
      <c r="E52" s="377"/>
      <c r="F52" s="377"/>
      <c r="G52" s="377"/>
      <c r="H52" s="378"/>
      <c r="I52" s="114">
        <f>SUM(I54,I64,I74,I84)</f>
        <v>998296782.45555472</v>
      </c>
      <c r="J52" s="114">
        <f t="shared" ref="J52:O52" si="74">SUM(J54,J64,J74,J84)</f>
        <v>1006496868.4231008</v>
      </c>
      <c r="K52" s="114">
        <f t="shared" si="74"/>
        <v>975497831.05261326</v>
      </c>
      <c r="L52" s="114">
        <f t="shared" si="74"/>
        <v>1050800409.3340787</v>
      </c>
      <c r="M52" s="114">
        <f t="shared" si="74"/>
        <v>1137603211.8748503</v>
      </c>
      <c r="N52" s="114">
        <f t="shared" si="74"/>
        <v>1238769001.2242627</v>
      </c>
      <c r="O52" s="114">
        <f t="shared" si="74"/>
        <v>1358439595.9128957</v>
      </c>
      <c r="P52" s="296"/>
      <c r="Q52" s="296"/>
      <c r="R52" s="296"/>
      <c r="S52" s="296"/>
      <c r="T52" s="296"/>
      <c r="U52" s="296"/>
      <c r="V52" s="296"/>
      <c r="W52" s="296"/>
      <c r="X52" s="296"/>
      <c r="Y52" s="296"/>
      <c r="Z52" s="107"/>
      <c r="AA52" s="107"/>
      <c r="AB52" s="182" t="s">
        <v>65</v>
      </c>
      <c r="AC52" s="237"/>
      <c r="AD52" s="381" t="s">
        <v>66</v>
      </c>
      <c r="AE52" s="382"/>
      <c r="AF52" s="148" t="e">
        <f>AE52/AD52-1</f>
        <v>#VALUE!</v>
      </c>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row>
    <row r="53" spans="1:55" s="147" customFormat="1" ht="25" customHeight="1" x14ac:dyDescent="0.35">
      <c r="A53" s="373" t="s">
        <v>2</v>
      </c>
      <c r="B53" s="374"/>
      <c r="C53" s="374"/>
      <c r="D53" s="374"/>
      <c r="E53" s="374"/>
      <c r="F53" s="374"/>
      <c r="G53" s="374"/>
      <c r="H53" s="374"/>
      <c r="I53" s="374"/>
      <c r="J53" s="374"/>
      <c r="K53" s="374"/>
      <c r="L53" s="374"/>
      <c r="M53" s="374"/>
      <c r="N53" s="374"/>
      <c r="O53" s="375"/>
      <c r="P53" s="297"/>
      <c r="Q53" s="297"/>
      <c r="R53" s="297"/>
      <c r="S53" s="297"/>
      <c r="T53" s="297"/>
      <c r="U53" s="297"/>
      <c r="V53" s="297"/>
      <c r="W53" s="297"/>
      <c r="X53" s="297"/>
      <c r="Y53" s="297"/>
      <c r="Z53" s="107"/>
      <c r="AA53" s="107"/>
      <c r="AB53" s="287" t="s">
        <v>67</v>
      </c>
      <c r="AC53" s="237"/>
      <c r="AD53" s="379" t="s">
        <v>68</v>
      </c>
      <c r="AE53" s="379"/>
      <c r="AF53" s="148" t="e">
        <f>AE53/AD53-1</f>
        <v>#VALUE!</v>
      </c>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row>
    <row r="54" spans="1:55" s="147" customFormat="1" ht="25" customHeight="1" x14ac:dyDescent="0.35">
      <c r="A54" s="120" t="s">
        <v>69</v>
      </c>
      <c r="B54" s="120"/>
      <c r="C54" s="120"/>
      <c r="D54" s="120"/>
      <c r="E54" s="120"/>
      <c r="F54" s="120"/>
      <c r="G54" s="120"/>
      <c r="H54" s="120"/>
      <c r="I54" s="121">
        <f>I55*I5</f>
        <v>105221271.13333325</v>
      </c>
      <c r="J54" s="121">
        <f>J55*J5</f>
        <v>107352073.20099688</v>
      </c>
      <c r="K54" s="121">
        <f t="shared" ref="K54:O54" si="75">K55*K5</f>
        <v>105722456.60503486</v>
      </c>
      <c r="L54" s="121">
        <f t="shared" si="75"/>
        <v>119038088.64910379</v>
      </c>
      <c r="M54" s="121">
        <f t="shared" si="75"/>
        <v>135357656.71317342</v>
      </c>
      <c r="N54" s="121">
        <f t="shared" si="75"/>
        <v>155959217.31289455</v>
      </c>
      <c r="O54" s="121">
        <f t="shared" si="75"/>
        <v>182985173.25387368</v>
      </c>
      <c r="P54" s="301"/>
      <c r="Q54" s="301"/>
      <c r="R54" s="301"/>
      <c r="S54" s="301"/>
      <c r="T54" s="301"/>
      <c r="U54" s="301"/>
      <c r="V54" s="301"/>
      <c r="W54" s="301"/>
      <c r="X54" s="301"/>
      <c r="Y54" s="301"/>
      <c r="Z54" s="107"/>
      <c r="AA54" s="379" t="s">
        <v>70</v>
      </c>
      <c r="AB54" s="379"/>
      <c r="AC54" s="237"/>
      <c r="AD54" s="379"/>
      <c r="AE54" s="379"/>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row>
    <row r="55" spans="1:55" s="147" customFormat="1" ht="25" customHeight="1" x14ac:dyDescent="0.35">
      <c r="A55" s="120" t="s">
        <v>13</v>
      </c>
      <c r="B55" s="120"/>
      <c r="C55" s="120"/>
      <c r="D55" s="120"/>
      <c r="E55" s="120"/>
      <c r="F55" s="120"/>
      <c r="G55" s="120"/>
      <c r="H55" s="121"/>
      <c r="I55" s="275">
        <f>'PHP Requirement'!C10</f>
        <v>261.74445555555536</v>
      </c>
      <c r="J55" s="275">
        <f>I55*(1+J56)</f>
        <v>256.55577861583868</v>
      </c>
      <c r="K55" s="275">
        <f t="shared" ref="K55:O55" si="76">J55*(1+K56)</f>
        <v>241.25931008715887</v>
      </c>
      <c r="L55" s="275">
        <f t="shared" si="76"/>
        <v>257.45769819539817</v>
      </c>
      <c r="M55" s="275">
        <f t="shared" si="76"/>
        <v>274.74366206272572</v>
      </c>
      <c r="N55" s="275">
        <f t="shared" si="76"/>
        <v>293.19022259862044</v>
      </c>
      <c r="O55" s="275">
        <f t="shared" si="76"/>
        <v>312.87530340846689</v>
      </c>
      <c r="P55" s="298"/>
      <c r="Q55" s="298"/>
      <c r="R55" s="298"/>
      <c r="S55" s="298"/>
      <c r="T55" s="298"/>
      <c r="U55" s="298"/>
      <c r="V55" s="298"/>
      <c r="W55" s="298"/>
      <c r="X55" s="298"/>
      <c r="Y55" s="298"/>
      <c r="Z55" s="107"/>
      <c r="AA55" s="379"/>
      <c r="AB55" s="379"/>
      <c r="AC55" s="237"/>
      <c r="AD55" s="379"/>
      <c r="AE55" s="379"/>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row>
    <row r="56" spans="1:55" s="147" customFormat="1" ht="25" customHeight="1" x14ac:dyDescent="0.35">
      <c r="A56" s="124" t="s">
        <v>31</v>
      </c>
      <c r="B56" s="120"/>
      <c r="C56" s="120"/>
      <c r="D56" s="120"/>
      <c r="E56" s="120"/>
      <c r="F56" s="120"/>
      <c r="G56" s="120"/>
      <c r="H56" s="125">
        <v>15440.3</v>
      </c>
      <c r="I56" s="126">
        <f>(1+I58)*(1+I60)*(1+I62)-1</f>
        <v>-5.9622389373596762E-2</v>
      </c>
      <c r="J56" s="126">
        <f>(1+J58)*(1+J60)*(1+J62)-1</f>
        <v>-1.9823445462115674E-2</v>
      </c>
      <c r="K56" s="126">
        <f t="shared" ref="K56:O56" si="77">(1+K58)*(1+K60)*(1+K62)-1</f>
        <v>-5.9622389373596762E-2</v>
      </c>
      <c r="L56" s="126">
        <f t="shared" si="77"/>
        <v>6.7140986610578324E-2</v>
      </c>
      <c r="M56" s="126">
        <f t="shared" si="77"/>
        <v>6.7140986610578324E-2</v>
      </c>
      <c r="N56" s="126">
        <f t="shared" si="77"/>
        <v>6.7140986610578324E-2</v>
      </c>
      <c r="O56" s="126">
        <f t="shared" si="77"/>
        <v>6.7140986610578324E-2</v>
      </c>
      <c r="P56" s="299"/>
      <c r="Q56" s="299"/>
      <c r="R56" s="299"/>
      <c r="S56" s="299"/>
      <c r="T56" s="299"/>
      <c r="U56" s="299"/>
      <c r="V56" s="299"/>
      <c r="W56" s="299"/>
      <c r="X56" s="299"/>
      <c r="Y56" s="299"/>
      <c r="Z56" s="107"/>
      <c r="AA56" s="379"/>
      <c r="AB56" s="379"/>
      <c r="AC56" s="237"/>
      <c r="AD56" s="379"/>
      <c r="AE56" s="379"/>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row>
    <row r="57" spans="1:55" s="145" customFormat="1" ht="25" customHeight="1" x14ac:dyDescent="0.35">
      <c r="A57" s="124" t="s">
        <v>71</v>
      </c>
      <c r="B57" s="274">
        <f>'Wheat price'!C13</f>
        <v>4.9756765873015887</v>
      </c>
      <c r="C57" s="274">
        <f>'Wheat price'!D13</f>
        <v>4.9413849206349205</v>
      </c>
      <c r="D57" s="274">
        <f>'Wheat price'!E13</f>
        <v>5.4980454545454513</v>
      </c>
      <c r="E57" s="274">
        <f>'Wheat price'!F13</f>
        <v>7.0401862745098018</v>
      </c>
      <c r="F57" s="274">
        <f>'Wheat price'!G13</f>
        <v>9.5239011627907004</v>
      </c>
      <c r="G57" s="274">
        <f>'Wheat price'!H13</f>
        <v>7.2274918287937746</v>
      </c>
      <c r="H57" s="274">
        <f>'Wheat price'!I13</f>
        <v>6.3670274725274725</v>
      </c>
      <c r="I57" s="289">
        <f>H57*(1+I58)</f>
        <v>5.964985918086871</v>
      </c>
      <c r="J57" s="289">
        <f t="shared" ref="J57:O57" si="78">I57*(1+J58)</f>
        <v>5.5883310000624702</v>
      </c>
      <c r="K57" s="289">
        <f t="shared" si="78"/>
        <v>5.2354596968227742</v>
      </c>
      <c r="L57" s="289">
        <f t="shared" si="78"/>
        <v>5.5660491852149443</v>
      </c>
      <c r="M57" s="289">
        <f t="shared" si="78"/>
        <v>5.9175135186377661</v>
      </c>
      <c r="N57" s="289">
        <f t="shared" si="78"/>
        <v>6.2911708247702922</v>
      </c>
      <c r="O57" s="289">
        <f t="shared" si="78"/>
        <v>6.6884224635539349</v>
      </c>
      <c r="P57" s="302"/>
      <c r="Q57" s="302"/>
      <c r="R57" s="302"/>
      <c r="S57" s="302"/>
      <c r="T57" s="302"/>
      <c r="U57" s="302"/>
      <c r="V57" s="302"/>
      <c r="W57" s="302"/>
      <c r="X57" s="302"/>
      <c r="Y57" s="302"/>
      <c r="Z57" s="107"/>
      <c r="AA57" s="379"/>
      <c r="AB57" s="379"/>
      <c r="AC57" s="236"/>
      <c r="AD57" s="379"/>
      <c r="AE57" s="379"/>
    </row>
    <row r="58" spans="1:55" s="147" customFormat="1" ht="25" customHeight="1" x14ac:dyDescent="0.35">
      <c r="A58" s="127" t="s">
        <v>72</v>
      </c>
      <c r="B58" s="127">
        <f>AVERAGE(C58:H58)</f>
        <v>6.3144309675957147E-2</v>
      </c>
      <c r="C58" s="126">
        <f>C57/B57-1</f>
        <v>-6.8918600445583289E-3</v>
      </c>
      <c r="D58" s="126">
        <f t="shared" ref="D58" si="79">D57/C57-1</f>
        <v>0.11265273660142339</v>
      </c>
      <c r="E58" s="126">
        <f>E57/D57-1</f>
        <v>0.28048891787342378</v>
      </c>
      <c r="F58" s="126">
        <f t="shared" ref="F58:G58" si="80">F57/E57-1</f>
        <v>0.35279107561025946</v>
      </c>
      <c r="G58" s="126">
        <f t="shared" si="80"/>
        <v>-0.24112065998425691</v>
      </c>
      <c r="H58" s="126">
        <f>H57/G57-1</f>
        <v>-0.11905435200054848</v>
      </c>
      <c r="I58" s="127">
        <f>-B58</f>
        <v>-6.3144309675957147E-2</v>
      </c>
      <c r="J58" s="127">
        <f>-B58</f>
        <v>-6.3144309675957147E-2</v>
      </c>
      <c r="K58" s="127">
        <f>J58</f>
        <v>-6.3144309675957147E-2</v>
      </c>
      <c r="L58" s="127">
        <f>-K58</f>
        <v>6.3144309675957147E-2</v>
      </c>
      <c r="M58" s="127">
        <f t="shared" ref="M58:O58" si="81">L58</f>
        <v>6.3144309675957147E-2</v>
      </c>
      <c r="N58" s="127">
        <f t="shared" si="81"/>
        <v>6.3144309675957147E-2</v>
      </c>
      <c r="O58" s="127">
        <f t="shared" si="81"/>
        <v>6.3144309675957147E-2</v>
      </c>
      <c r="P58" s="300"/>
      <c r="Q58" s="300"/>
      <c r="R58" s="300"/>
      <c r="S58" s="300"/>
      <c r="T58" s="300"/>
      <c r="U58" s="300"/>
      <c r="V58" s="300"/>
      <c r="W58" s="300"/>
      <c r="X58" s="300"/>
      <c r="Y58" s="300"/>
      <c r="Z58" s="107"/>
      <c r="AA58" s="379"/>
      <c r="AB58" s="379"/>
      <c r="AC58" s="237"/>
      <c r="AD58" s="379"/>
      <c r="AE58" s="379"/>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row>
    <row r="59" spans="1:55" s="147" customFormat="1" ht="25" customHeight="1" x14ac:dyDescent="0.35">
      <c r="A59" s="124" t="s">
        <v>66</v>
      </c>
      <c r="B59" s="124">
        <f>'Sugar price'!C13</f>
        <v>0.12253531746031747</v>
      </c>
      <c r="C59" s="124">
        <f>'Sugar price'!D13</f>
        <v>0.12333888888888893</v>
      </c>
      <c r="D59" s="124">
        <f>'Sugar price'!E13</f>
        <v>0.12819525691699604</v>
      </c>
      <c r="E59" s="124">
        <f>'Sugar price'!F13</f>
        <v>0.17712196078431353</v>
      </c>
      <c r="F59" s="124">
        <f>'Sugar price'!G13</f>
        <v>0.18729883720930229</v>
      </c>
      <c r="G59" s="124">
        <f>'Sugar price'!H13</f>
        <v>0.23972490272373539</v>
      </c>
      <c r="H59" s="124">
        <f>'Sugar price'!I13</f>
        <v>0.20599780219780214</v>
      </c>
      <c r="I59" s="124">
        <f>H59*(1+I60)</f>
        <v>0.20172898483026</v>
      </c>
      <c r="J59" s="124">
        <f t="shared" ref="J59:O59" si="82">I59*(1+J60)</f>
        <v>0.20590934105150344</v>
      </c>
      <c r="K59" s="124">
        <f t="shared" si="82"/>
        <v>0.20164235683205145</v>
      </c>
      <c r="L59" s="124">
        <f t="shared" si="82"/>
        <v>0.19746379577123846</v>
      </c>
      <c r="M59" s="124">
        <f t="shared" si="82"/>
        <v>0.19337182550817877</v>
      </c>
      <c r="N59" s="124">
        <f t="shared" si="82"/>
        <v>0.18936465165333341</v>
      </c>
      <c r="O59" s="124">
        <f t="shared" si="82"/>
        <v>0.18544051700164371</v>
      </c>
      <c r="P59" s="303"/>
      <c r="Q59" s="303"/>
      <c r="R59" s="303"/>
      <c r="S59" s="303"/>
      <c r="T59" s="303"/>
      <c r="U59" s="303"/>
      <c r="V59" s="303"/>
      <c r="W59" s="303"/>
      <c r="X59" s="303"/>
      <c r="Y59" s="303"/>
      <c r="Z59" s="107"/>
      <c r="AA59" s="379"/>
      <c r="AB59" s="379"/>
      <c r="AC59" s="237"/>
      <c r="AD59" s="147" t="s">
        <v>73</v>
      </c>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row>
    <row r="60" spans="1:55" s="145" customFormat="1" ht="25" customHeight="1" x14ac:dyDescent="0.35">
      <c r="A60" s="124" t="s">
        <v>74</v>
      </c>
      <c r="B60" s="127">
        <f>'Sugar price'!I200</f>
        <v>-2.0722635494155206E-2</v>
      </c>
      <c r="C60" s="126">
        <f>C59/B59-1</f>
        <v>6.5578760901459088E-3</v>
      </c>
      <c r="D60" s="126">
        <f t="shared" ref="D60" si="83">D59/C59-1</f>
        <v>3.9374183372788529E-2</v>
      </c>
      <c r="E60" s="126">
        <f>E59/D59-1</f>
        <v>0.38165767629762293</v>
      </c>
      <c r="F60" s="126">
        <f t="shared" ref="F60:G60" si="84">F59/E59-1</f>
        <v>5.7456886655525619E-2</v>
      </c>
      <c r="G60" s="126">
        <f t="shared" si="84"/>
        <v>0.27990598497869024</v>
      </c>
      <c r="H60" s="126">
        <f>H59/G59-1</f>
        <v>-0.14069085081578347</v>
      </c>
      <c r="I60" s="127">
        <f>B60</f>
        <v>-2.0722635494155206E-2</v>
      </c>
      <c r="J60" s="126">
        <f>-I60</f>
        <v>2.0722635494155206E-2</v>
      </c>
      <c r="K60" s="126">
        <f>-J60</f>
        <v>-2.0722635494155206E-2</v>
      </c>
      <c r="L60" s="126">
        <f t="shared" ref="L60:O60" si="85">K60</f>
        <v>-2.0722635494155206E-2</v>
      </c>
      <c r="M60" s="126">
        <f t="shared" si="85"/>
        <v>-2.0722635494155206E-2</v>
      </c>
      <c r="N60" s="126">
        <f t="shared" si="85"/>
        <v>-2.0722635494155206E-2</v>
      </c>
      <c r="O60" s="126">
        <f t="shared" si="85"/>
        <v>-2.0722635494155206E-2</v>
      </c>
      <c r="P60" s="299"/>
      <c r="Q60" s="299"/>
      <c r="R60" s="299"/>
      <c r="S60" s="299"/>
      <c r="T60" s="299"/>
      <c r="U60" s="299"/>
      <c r="V60" s="299"/>
      <c r="W60" s="299"/>
      <c r="X60" s="299"/>
      <c r="Y60" s="299"/>
      <c r="Z60" s="107"/>
      <c r="AA60" s="107"/>
      <c r="AB60" s="107" t="s">
        <v>75</v>
      </c>
      <c r="AC60" s="236"/>
      <c r="AD60" s="147" t="s">
        <v>76</v>
      </c>
      <c r="AE60" s="147"/>
      <c r="AF60" s="147"/>
      <c r="AG60" s="147"/>
      <c r="AH60" s="147"/>
      <c r="AI60" s="147"/>
      <c r="AJ60" s="147"/>
    </row>
    <row r="61" spans="1:55" s="147" customFormat="1" ht="25" customHeight="1" x14ac:dyDescent="0.35">
      <c r="A61" s="124" t="s">
        <v>77</v>
      </c>
      <c r="B61" s="124">
        <f>'Milk price'!B9</f>
        <v>14262</v>
      </c>
      <c r="C61" s="124">
        <f>'Milk price'!C9</f>
        <v>18116</v>
      </c>
      <c r="D61" s="124">
        <f>'Milk price'!D9</f>
        <v>17708</v>
      </c>
      <c r="E61" s="124">
        <f>'Milk price'!E9</f>
        <v>18705</v>
      </c>
      <c r="F61" s="124">
        <f>'Milk price'!F9</f>
        <v>20292</v>
      </c>
      <c r="G61" s="124">
        <f>'Milk price'!G9</f>
        <v>15169</v>
      </c>
      <c r="H61" s="124">
        <f>'Milk price'!H9</f>
        <v>22423</v>
      </c>
      <c r="I61" s="124">
        <f>H61*(1+I62)</f>
        <v>22983.574999999997</v>
      </c>
      <c r="J61" s="124">
        <f t="shared" ref="J61:O61" si="86">I61*(1+J62)</f>
        <v>23558.164374999997</v>
      </c>
      <c r="K61" s="124">
        <f t="shared" si="86"/>
        <v>24147.118484374994</v>
      </c>
      <c r="L61" s="124">
        <f t="shared" si="86"/>
        <v>24750.796446484368</v>
      </c>
      <c r="M61" s="124">
        <f t="shared" si="86"/>
        <v>25369.566357646476</v>
      </c>
      <c r="N61" s="124">
        <f t="shared" si="86"/>
        <v>26003.805516587636</v>
      </c>
      <c r="O61" s="124">
        <f t="shared" si="86"/>
        <v>26653.900654502326</v>
      </c>
      <c r="P61" s="303"/>
      <c r="Q61" s="303"/>
      <c r="R61" s="303"/>
      <c r="S61" s="303"/>
      <c r="T61" s="303"/>
      <c r="U61" s="303"/>
      <c r="V61" s="303"/>
      <c r="W61" s="303"/>
      <c r="X61" s="303"/>
      <c r="Y61" s="303"/>
      <c r="Z61" s="107"/>
      <c r="AA61" s="379" t="s">
        <v>78</v>
      </c>
      <c r="AB61" s="379"/>
      <c r="AC61" s="395"/>
      <c r="AJ61" s="146"/>
      <c r="AK61" s="146"/>
      <c r="AL61" s="146"/>
      <c r="AM61" s="146"/>
      <c r="AN61" s="146"/>
      <c r="AO61" s="146"/>
      <c r="AP61" s="146"/>
      <c r="AQ61" s="146"/>
      <c r="AR61" s="146"/>
      <c r="AS61" s="146"/>
      <c r="AT61" s="146"/>
      <c r="AU61" s="146"/>
      <c r="AV61" s="146"/>
      <c r="AW61" s="146"/>
      <c r="AX61" s="146"/>
      <c r="AY61" s="146"/>
      <c r="AZ61" s="146"/>
      <c r="BA61" s="146"/>
      <c r="BB61" s="146"/>
      <c r="BC61" s="146"/>
    </row>
    <row r="62" spans="1:55" s="147" customFormat="1" ht="25" customHeight="1" x14ac:dyDescent="0.35">
      <c r="A62" s="124" t="s">
        <v>79</v>
      </c>
      <c r="B62" s="127">
        <f>$AE$75</f>
        <v>2.5000000000000001E-2</v>
      </c>
      <c r="C62" s="126">
        <f>C61/B61-1</f>
        <v>0.27022857944187351</v>
      </c>
      <c r="D62" s="126">
        <f t="shared" ref="D62" si="87">D61/C61-1</f>
        <v>-2.2521527931110619E-2</v>
      </c>
      <c r="E62" s="126">
        <f>E61/D61-1</f>
        <v>5.630223627738884E-2</v>
      </c>
      <c r="F62" s="126">
        <f t="shared" ref="F62:G62" si="88">F61/E61-1</f>
        <v>8.4843624699278308E-2</v>
      </c>
      <c r="G62" s="126">
        <f t="shared" si="88"/>
        <v>-0.25246402523161837</v>
      </c>
      <c r="H62" s="126">
        <f>H61/G61-1</f>
        <v>0.47821214318676253</v>
      </c>
      <c r="I62" s="127">
        <f>B62</f>
        <v>2.5000000000000001E-2</v>
      </c>
      <c r="J62" s="126">
        <f>I62</f>
        <v>2.5000000000000001E-2</v>
      </c>
      <c r="K62" s="126">
        <f t="shared" ref="K62:O62" si="89">J62</f>
        <v>2.5000000000000001E-2</v>
      </c>
      <c r="L62" s="126">
        <f t="shared" si="89"/>
        <v>2.5000000000000001E-2</v>
      </c>
      <c r="M62" s="126">
        <f t="shared" si="89"/>
        <v>2.5000000000000001E-2</v>
      </c>
      <c r="N62" s="126">
        <f t="shared" si="89"/>
        <v>2.5000000000000001E-2</v>
      </c>
      <c r="O62" s="126">
        <f t="shared" si="89"/>
        <v>2.5000000000000001E-2</v>
      </c>
      <c r="P62" s="299"/>
      <c r="Q62" s="299"/>
      <c r="R62" s="299"/>
      <c r="S62" s="299"/>
      <c r="T62" s="299"/>
      <c r="U62" s="299"/>
      <c r="V62" s="299"/>
      <c r="W62" s="299"/>
      <c r="X62" s="299"/>
      <c r="Y62" s="299"/>
      <c r="Z62" s="107"/>
      <c r="AA62" s="379"/>
      <c r="AB62" s="379"/>
      <c r="AC62" s="395"/>
      <c r="AJ62" s="146"/>
      <c r="AK62" s="146"/>
      <c r="AL62" s="146"/>
      <c r="AM62" s="146"/>
      <c r="AN62" s="146"/>
      <c r="AO62" s="146"/>
      <c r="AP62" s="146"/>
      <c r="AQ62" s="146"/>
      <c r="AR62" s="146"/>
      <c r="AS62" s="146"/>
      <c r="AT62" s="146"/>
      <c r="AU62" s="146"/>
      <c r="AV62" s="146"/>
      <c r="AW62" s="146"/>
      <c r="AX62" s="146"/>
      <c r="AY62" s="146"/>
      <c r="AZ62" s="146"/>
      <c r="BA62" s="146"/>
      <c r="BB62" s="146"/>
      <c r="BC62" s="146"/>
    </row>
    <row r="63" spans="1:55" s="147" customFormat="1" ht="25" customHeight="1" x14ac:dyDescent="0.35">
      <c r="A63" s="373" t="s">
        <v>80</v>
      </c>
      <c r="B63" s="374"/>
      <c r="C63" s="374"/>
      <c r="D63" s="374"/>
      <c r="E63" s="374"/>
      <c r="F63" s="374"/>
      <c r="G63" s="374"/>
      <c r="H63" s="374"/>
      <c r="I63" s="374"/>
      <c r="J63" s="374"/>
      <c r="K63" s="374"/>
      <c r="L63" s="374"/>
      <c r="M63" s="374"/>
      <c r="N63" s="374"/>
      <c r="O63" s="375"/>
      <c r="P63" s="297"/>
      <c r="Q63" s="297"/>
      <c r="R63" s="297"/>
      <c r="S63" s="297"/>
      <c r="T63" s="297"/>
      <c r="U63" s="297"/>
      <c r="V63" s="297"/>
      <c r="W63" s="297"/>
      <c r="X63" s="297"/>
      <c r="Y63" s="297"/>
      <c r="Z63" s="107"/>
      <c r="AA63" s="379"/>
      <c r="AB63" s="379"/>
      <c r="AC63" s="395"/>
      <c r="AJ63" s="146"/>
      <c r="AK63" s="146"/>
      <c r="AL63" s="146"/>
      <c r="AM63" s="146"/>
      <c r="AN63" s="146"/>
      <c r="AO63" s="146"/>
      <c r="AP63" s="146"/>
      <c r="AQ63" s="146"/>
      <c r="AR63" s="146"/>
      <c r="AS63" s="146"/>
      <c r="AT63" s="146"/>
      <c r="AU63" s="146"/>
      <c r="AV63" s="146"/>
      <c r="AW63" s="146"/>
      <c r="AX63" s="146"/>
      <c r="AY63" s="146"/>
      <c r="AZ63" s="146"/>
      <c r="BA63" s="146"/>
      <c r="BB63" s="146"/>
      <c r="BC63" s="146"/>
    </row>
    <row r="64" spans="1:55" s="147" customFormat="1" ht="25" customHeight="1" x14ac:dyDescent="0.35">
      <c r="A64" s="120" t="s">
        <v>69</v>
      </c>
      <c r="B64" s="120"/>
      <c r="C64" s="120"/>
      <c r="D64" s="120"/>
      <c r="E64" s="120"/>
      <c r="F64" s="120"/>
      <c r="G64" s="120"/>
      <c r="H64" s="120"/>
      <c r="I64" s="121">
        <f t="shared" ref="I64:O64" si="90">I65*I17</f>
        <v>233162875.39999983</v>
      </c>
      <c r="J64" s="121">
        <f t="shared" si="90"/>
        <v>240668724.1343362</v>
      </c>
      <c r="K64" s="121">
        <f t="shared" si="90"/>
        <v>237805008.66741756</v>
      </c>
      <c r="L64" s="121">
        <f t="shared" si="90"/>
        <v>241533738.25670451</v>
      </c>
      <c r="M64" s="121">
        <f t="shared" si="90"/>
        <v>246032961.13878146</v>
      </c>
      <c r="N64" s="121">
        <f t="shared" si="90"/>
        <v>251412319.8165597</v>
      </c>
      <c r="O64" s="121">
        <f t="shared" si="90"/>
        <v>257806470.22094753</v>
      </c>
      <c r="P64" s="301"/>
      <c r="Q64" s="301"/>
      <c r="R64" s="301"/>
      <c r="S64" s="301"/>
      <c r="T64" s="301"/>
      <c r="U64" s="301"/>
      <c r="V64" s="301"/>
      <c r="W64" s="301"/>
      <c r="X64" s="301"/>
      <c r="Y64" s="301"/>
      <c r="Z64" s="107"/>
      <c r="AA64" s="379"/>
      <c r="AB64" s="379"/>
      <c r="AC64" s="395"/>
      <c r="AJ64" s="146"/>
      <c r="AK64" s="146"/>
      <c r="AL64" s="146"/>
      <c r="AM64" s="146"/>
      <c r="AN64" s="146"/>
      <c r="AO64" s="146"/>
      <c r="AP64" s="146"/>
      <c r="AQ64" s="146"/>
      <c r="AR64" s="146"/>
      <c r="AS64" s="146"/>
      <c r="AT64" s="146"/>
      <c r="AU64" s="146"/>
      <c r="AV64" s="146"/>
      <c r="AW64" s="146"/>
      <c r="AX64" s="146"/>
      <c r="AY64" s="146"/>
      <c r="AZ64" s="146"/>
      <c r="BA64" s="146"/>
      <c r="BB64" s="146"/>
      <c r="BC64" s="146"/>
    </row>
    <row r="65" spans="1:55" s="147" customFormat="1" ht="25" customHeight="1" x14ac:dyDescent="0.35">
      <c r="A65" s="120" t="s">
        <v>81</v>
      </c>
      <c r="B65" s="120"/>
      <c r="C65" s="120"/>
      <c r="D65" s="120"/>
      <c r="E65" s="120"/>
      <c r="F65" s="120"/>
      <c r="G65" s="120"/>
      <c r="H65" s="121"/>
      <c r="I65" s="275">
        <f>'PHP Requirement'!E10</f>
        <v>144.0165999999999</v>
      </c>
      <c r="J65" s="275">
        <f>I65*(1+J66)</f>
        <v>141.16169478426056</v>
      </c>
      <c r="K65" s="275">
        <f t="shared" ref="K65:O65" si="91">J65*(1+K66)</f>
        <v>132.74529725319655</v>
      </c>
      <c r="L65" s="275">
        <f t="shared" si="91"/>
        <v>141.65794747869066</v>
      </c>
      <c r="M65" s="275">
        <f t="shared" si="91"/>
        <v>151.16900183363944</v>
      </c>
      <c r="N65" s="275">
        <f t="shared" si="91"/>
        <v>161.31863776168632</v>
      </c>
      <c r="O65" s="275">
        <f t="shared" si="91"/>
        <v>172.14973025968044</v>
      </c>
      <c r="P65" s="298"/>
      <c r="Q65" s="298"/>
      <c r="R65" s="298"/>
      <c r="S65" s="298"/>
      <c r="T65" s="298"/>
      <c r="U65" s="298"/>
      <c r="V65" s="298"/>
      <c r="W65" s="298"/>
      <c r="X65" s="298"/>
      <c r="Y65" s="298"/>
      <c r="Z65" s="107"/>
      <c r="AA65" s="107"/>
      <c r="AC65" s="237"/>
      <c r="AD65" s="383" t="s">
        <v>82</v>
      </c>
      <c r="AE65" s="384"/>
      <c r="AJ65" s="146"/>
      <c r="AK65" s="146"/>
      <c r="AL65" s="146"/>
      <c r="AM65" s="146"/>
      <c r="AN65" s="146"/>
      <c r="AO65" s="146"/>
      <c r="AP65" s="146"/>
      <c r="AQ65" s="146"/>
      <c r="AR65" s="146"/>
      <c r="AS65" s="146"/>
      <c r="AT65" s="146"/>
      <c r="AU65" s="146"/>
      <c r="AV65" s="146"/>
      <c r="AW65" s="146"/>
      <c r="AX65" s="146"/>
      <c r="AY65" s="146"/>
      <c r="AZ65" s="146"/>
      <c r="BA65" s="146"/>
      <c r="BB65" s="146"/>
      <c r="BC65" s="146"/>
    </row>
    <row r="66" spans="1:55" s="147" customFormat="1" ht="25" customHeight="1" x14ac:dyDescent="0.35">
      <c r="A66" s="124" t="s">
        <v>31</v>
      </c>
      <c r="B66" s="120"/>
      <c r="C66" s="120"/>
      <c r="D66" s="120"/>
      <c r="E66" s="120"/>
      <c r="F66" s="120"/>
      <c r="G66" s="120"/>
      <c r="H66" s="125">
        <v>15440.3</v>
      </c>
      <c r="I66" s="126">
        <f>(1+I68)*(1+I70)*(1+I72)-1</f>
        <v>-5.9622389373596762E-2</v>
      </c>
      <c r="J66" s="126">
        <f t="shared" ref="J66:O66" si="92">(1+J68)*(1+J70)*(1+J72)-1</f>
        <v>-1.9823445462115674E-2</v>
      </c>
      <c r="K66" s="126">
        <f t="shared" si="92"/>
        <v>-5.9622389373596762E-2</v>
      </c>
      <c r="L66" s="126">
        <f t="shared" si="92"/>
        <v>6.7140986610578324E-2</v>
      </c>
      <c r="M66" s="126">
        <f t="shared" si="92"/>
        <v>6.7140986610578324E-2</v>
      </c>
      <c r="N66" s="126">
        <f t="shared" si="92"/>
        <v>6.7140986610578324E-2</v>
      </c>
      <c r="O66" s="126">
        <f t="shared" si="92"/>
        <v>6.7140986610578324E-2</v>
      </c>
      <c r="P66" s="299"/>
      <c r="Q66" s="299"/>
      <c r="R66" s="299"/>
      <c r="S66" s="299"/>
      <c r="T66" s="299"/>
      <c r="U66" s="299"/>
      <c r="V66" s="299"/>
      <c r="W66" s="299"/>
      <c r="X66" s="299"/>
      <c r="Y66" s="299"/>
      <c r="Z66" s="107"/>
      <c r="AA66" s="107"/>
      <c r="AB66" s="107" t="s">
        <v>83</v>
      </c>
      <c r="AC66" s="237"/>
      <c r="AD66" s="385"/>
      <c r="AE66" s="386"/>
      <c r="AJ66" s="146"/>
      <c r="AK66" s="146"/>
      <c r="AL66" s="146"/>
      <c r="AM66" s="146"/>
      <c r="AN66" s="146"/>
      <c r="AO66" s="146"/>
      <c r="AP66" s="146"/>
      <c r="AQ66" s="146"/>
      <c r="AR66" s="146"/>
      <c r="AS66" s="146"/>
      <c r="AT66" s="146"/>
      <c r="AU66" s="146"/>
      <c r="AV66" s="146"/>
      <c r="AW66" s="146"/>
      <c r="AX66" s="146"/>
      <c r="AY66" s="146"/>
      <c r="AZ66" s="146"/>
      <c r="BA66" s="146"/>
      <c r="BB66" s="146"/>
      <c r="BC66" s="146"/>
    </row>
    <row r="67" spans="1:55" s="147" customFormat="1" ht="25" customHeight="1" x14ac:dyDescent="0.35">
      <c r="A67" s="124" t="s">
        <v>71</v>
      </c>
      <c r="B67" s="274">
        <f t="shared" ref="B67:H67" si="93">B57</f>
        <v>4.9756765873015887</v>
      </c>
      <c r="C67" s="274">
        <f t="shared" si="93"/>
        <v>4.9413849206349205</v>
      </c>
      <c r="D67" s="274">
        <f t="shared" si="93"/>
        <v>5.4980454545454513</v>
      </c>
      <c r="E67" s="274">
        <f t="shared" si="93"/>
        <v>7.0401862745098018</v>
      </c>
      <c r="F67" s="274">
        <f t="shared" si="93"/>
        <v>9.5239011627907004</v>
      </c>
      <c r="G67" s="274">
        <f t="shared" si="93"/>
        <v>7.2274918287937746</v>
      </c>
      <c r="H67" s="274">
        <f t="shared" si="93"/>
        <v>6.3670274725274725</v>
      </c>
      <c r="I67" s="289">
        <f>H67*(1+I68)</f>
        <v>5.964985918086871</v>
      </c>
      <c r="J67" s="289">
        <f t="shared" ref="J67:O67" si="94">I67*(1+J68)</f>
        <v>5.5883310000624702</v>
      </c>
      <c r="K67" s="289">
        <f t="shared" si="94"/>
        <v>5.2354596968227742</v>
      </c>
      <c r="L67" s="289">
        <f t="shared" si="94"/>
        <v>5.5660491852149443</v>
      </c>
      <c r="M67" s="289">
        <f t="shared" si="94"/>
        <v>5.9175135186377661</v>
      </c>
      <c r="N67" s="289">
        <f t="shared" si="94"/>
        <v>6.2911708247702922</v>
      </c>
      <c r="O67" s="289">
        <f t="shared" si="94"/>
        <v>6.6884224635539349</v>
      </c>
      <c r="P67" s="302"/>
      <c r="Q67" s="302"/>
      <c r="R67" s="302"/>
      <c r="S67" s="302"/>
      <c r="T67" s="302"/>
      <c r="U67" s="302"/>
      <c r="V67" s="302"/>
      <c r="W67" s="302"/>
      <c r="X67" s="302"/>
      <c r="Y67" s="302"/>
      <c r="Z67" s="107"/>
      <c r="AA67" s="107"/>
      <c r="AB67" s="288" t="s">
        <v>84</v>
      </c>
      <c r="AC67" s="237"/>
      <c r="AD67" s="387"/>
      <c r="AE67" s="388"/>
      <c r="AJ67" s="146"/>
      <c r="AK67" s="146"/>
      <c r="AL67" s="146"/>
      <c r="AM67" s="146"/>
      <c r="AN67" s="146"/>
      <c r="AO67" s="146"/>
      <c r="AP67" s="146"/>
      <c r="AQ67" s="146"/>
      <c r="AR67" s="146"/>
      <c r="AS67" s="146"/>
      <c r="AT67" s="146"/>
      <c r="AU67" s="146"/>
      <c r="AV67" s="146"/>
      <c r="AW67" s="146"/>
      <c r="AX67" s="146"/>
      <c r="AY67" s="146"/>
      <c r="AZ67" s="146"/>
      <c r="BA67" s="146"/>
      <c r="BB67" s="146"/>
      <c r="BC67" s="146"/>
    </row>
    <row r="68" spans="1:55" s="164" customFormat="1" ht="25" customHeight="1" x14ac:dyDescent="0.35">
      <c r="A68" s="127" t="s">
        <v>72</v>
      </c>
      <c r="B68" s="127">
        <f>AVERAGE(C68:H68)</f>
        <v>6.3144309675957147E-2</v>
      </c>
      <c r="C68" s="126">
        <f>C67/B67-1</f>
        <v>-6.8918600445583289E-3</v>
      </c>
      <c r="D68" s="126">
        <f t="shared" ref="D68" si="95">D67/C67-1</f>
        <v>0.11265273660142339</v>
      </c>
      <c r="E68" s="126">
        <f>E67/D67-1</f>
        <v>0.28048891787342378</v>
      </c>
      <c r="F68" s="126">
        <f t="shared" ref="F68:G68" si="96">F67/E67-1</f>
        <v>0.35279107561025946</v>
      </c>
      <c r="G68" s="126">
        <f t="shared" si="96"/>
        <v>-0.24112065998425691</v>
      </c>
      <c r="H68" s="126">
        <f>H67/G67-1</f>
        <v>-0.11905435200054848</v>
      </c>
      <c r="I68" s="127">
        <f>-B68</f>
        <v>-6.3144309675957147E-2</v>
      </c>
      <c r="J68" s="127">
        <f>-B68</f>
        <v>-6.3144309675957147E-2</v>
      </c>
      <c r="K68" s="127">
        <f>J68</f>
        <v>-6.3144309675957147E-2</v>
      </c>
      <c r="L68" s="127">
        <f>-K68</f>
        <v>6.3144309675957147E-2</v>
      </c>
      <c r="M68" s="127">
        <f t="shared" ref="M68:O68" si="97">L68</f>
        <v>6.3144309675957147E-2</v>
      </c>
      <c r="N68" s="127">
        <f t="shared" si="97"/>
        <v>6.3144309675957147E-2</v>
      </c>
      <c r="O68" s="127">
        <f t="shared" si="97"/>
        <v>6.3144309675957147E-2</v>
      </c>
      <c r="P68" s="300"/>
      <c r="Q68" s="300"/>
      <c r="R68" s="300"/>
      <c r="S68" s="300"/>
      <c r="T68" s="300"/>
      <c r="U68" s="300"/>
      <c r="V68" s="300"/>
      <c r="W68" s="300"/>
      <c r="X68" s="300"/>
      <c r="Y68" s="300"/>
      <c r="Z68" s="241"/>
      <c r="AA68" s="241"/>
      <c r="AB68" s="288" t="s">
        <v>85</v>
      </c>
      <c r="AC68" s="238"/>
      <c r="AD68" s="389" t="s">
        <v>86</v>
      </c>
      <c r="AE68" s="390"/>
      <c r="AF68" s="292"/>
      <c r="AG68" s="292"/>
      <c r="AH68" s="292"/>
      <c r="AI68" s="292"/>
    </row>
    <row r="69" spans="1:55" s="147" customFormat="1" ht="25" customHeight="1" x14ac:dyDescent="0.35">
      <c r="A69" s="124" t="s">
        <v>66</v>
      </c>
      <c r="B69" s="124">
        <f>B59</f>
        <v>0.12253531746031747</v>
      </c>
      <c r="C69" s="124">
        <f t="shared" ref="C69:H69" si="98">C59</f>
        <v>0.12333888888888893</v>
      </c>
      <c r="D69" s="124">
        <f t="shared" si="98"/>
        <v>0.12819525691699604</v>
      </c>
      <c r="E69" s="124">
        <f t="shared" si="98"/>
        <v>0.17712196078431353</v>
      </c>
      <c r="F69" s="124">
        <f t="shared" si="98"/>
        <v>0.18729883720930229</v>
      </c>
      <c r="G69" s="124">
        <f t="shared" si="98"/>
        <v>0.23972490272373539</v>
      </c>
      <c r="H69" s="124">
        <f t="shared" si="98"/>
        <v>0.20599780219780214</v>
      </c>
      <c r="I69" s="124">
        <f>H69*(1+I70)</f>
        <v>0.20172898483026</v>
      </c>
      <c r="J69" s="124">
        <f t="shared" ref="J69:O69" si="99">I69*(1+J70)</f>
        <v>0.20590934105150344</v>
      </c>
      <c r="K69" s="124">
        <f t="shared" si="99"/>
        <v>0.20164235683205145</v>
      </c>
      <c r="L69" s="124">
        <f t="shared" si="99"/>
        <v>0.19746379577123846</v>
      </c>
      <c r="M69" s="124">
        <f t="shared" si="99"/>
        <v>0.19337182550817877</v>
      </c>
      <c r="N69" s="124">
        <f t="shared" si="99"/>
        <v>0.18936465165333341</v>
      </c>
      <c r="O69" s="124">
        <f t="shared" si="99"/>
        <v>0.18544051700164371</v>
      </c>
      <c r="P69" s="303"/>
      <c r="Q69" s="303"/>
      <c r="R69" s="303"/>
      <c r="S69" s="303"/>
      <c r="T69" s="303"/>
      <c r="U69" s="303"/>
      <c r="V69" s="303"/>
      <c r="W69" s="303"/>
      <c r="X69" s="303"/>
      <c r="Y69" s="303"/>
      <c r="Z69" s="107"/>
      <c r="AA69" s="107"/>
      <c r="AB69" s="288" t="s">
        <v>87</v>
      </c>
      <c r="AC69" s="237"/>
      <c r="AD69" s="391"/>
      <c r="AE69" s="392"/>
      <c r="AJ69" s="146"/>
      <c r="AK69" s="146"/>
      <c r="AL69" s="146"/>
      <c r="AM69" s="146"/>
      <c r="AN69" s="146"/>
      <c r="AO69" s="146"/>
      <c r="AP69" s="146"/>
      <c r="AQ69" s="146"/>
      <c r="AR69" s="146"/>
      <c r="AS69" s="146"/>
      <c r="AT69" s="146"/>
      <c r="AU69" s="146"/>
      <c r="AV69" s="146"/>
      <c r="AW69" s="146"/>
      <c r="AX69" s="146"/>
      <c r="AY69" s="146"/>
      <c r="AZ69" s="146"/>
      <c r="BA69" s="146"/>
      <c r="BB69" s="146"/>
      <c r="BC69" s="146"/>
    </row>
    <row r="70" spans="1:55" s="147" customFormat="1" ht="25" customHeight="1" x14ac:dyDescent="0.35">
      <c r="A70" s="124" t="s">
        <v>74</v>
      </c>
      <c r="B70" s="127">
        <f>B60</f>
        <v>-2.0722635494155206E-2</v>
      </c>
      <c r="C70" s="126">
        <f>C69/B69-1</f>
        <v>6.5578760901459088E-3</v>
      </c>
      <c r="D70" s="126">
        <f t="shared" ref="D70" si="100">D69/C69-1</f>
        <v>3.9374183372788529E-2</v>
      </c>
      <c r="E70" s="126">
        <f>E69/D69-1</f>
        <v>0.38165767629762293</v>
      </c>
      <c r="F70" s="126">
        <f t="shared" ref="F70:G70" si="101">F69/E69-1</f>
        <v>5.7456886655525619E-2</v>
      </c>
      <c r="G70" s="126">
        <f t="shared" si="101"/>
        <v>0.27990598497869024</v>
      </c>
      <c r="H70" s="126">
        <f>H69/G69-1</f>
        <v>-0.14069085081578347</v>
      </c>
      <c r="I70" s="127">
        <f>B70</f>
        <v>-2.0722635494155206E-2</v>
      </c>
      <c r="J70" s="126">
        <f>-I70</f>
        <v>2.0722635494155206E-2</v>
      </c>
      <c r="K70" s="126">
        <f>-J70</f>
        <v>-2.0722635494155206E-2</v>
      </c>
      <c r="L70" s="126">
        <f t="shared" ref="L70:O70" si="102">K70</f>
        <v>-2.0722635494155206E-2</v>
      </c>
      <c r="M70" s="126">
        <f t="shared" si="102"/>
        <v>-2.0722635494155206E-2</v>
      </c>
      <c r="N70" s="126">
        <f t="shared" si="102"/>
        <v>-2.0722635494155206E-2</v>
      </c>
      <c r="O70" s="126">
        <f t="shared" si="102"/>
        <v>-2.0722635494155206E-2</v>
      </c>
      <c r="P70" s="299"/>
      <c r="Q70" s="299"/>
      <c r="R70" s="299"/>
      <c r="S70" s="299"/>
      <c r="T70" s="299"/>
      <c r="U70" s="299"/>
      <c r="V70" s="299"/>
      <c r="W70" s="299"/>
      <c r="X70" s="299"/>
      <c r="Y70" s="299"/>
      <c r="Z70" s="107"/>
      <c r="AA70" s="107"/>
      <c r="AB70" s="107" t="s">
        <v>88</v>
      </c>
      <c r="AC70" s="237"/>
      <c r="AD70" s="391"/>
      <c r="AE70" s="392"/>
      <c r="AJ70" s="146"/>
      <c r="AK70" s="146"/>
      <c r="AL70" s="146"/>
      <c r="AM70" s="146"/>
      <c r="AN70" s="146"/>
      <c r="AO70" s="146"/>
      <c r="AP70" s="146"/>
      <c r="AQ70" s="146"/>
      <c r="AR70" s="146"/>
      <c r="AS70" s="146"/>
      <c r="AT70" s="146"/>
      <c r="AU70" s="146"/>
      <c r="AV70" s="146"/>
      <c r="AW70" s="146"/>
      <c r="AX70" s="146"/>
      <c r="AY70" s="146"/>
      <c r="AZ70" s="146"/>
      <c r="BA70" s="146"/>
      <c r="BB70" s="146"/>
      <c r="BC70" s="146"/>
    </row>
    <row r="71" spans="1:55" s="147" customFormat="1" ht="25" customHeight="1" x14ac:dyDescent="0.35">
      <c r="A71" s="124" t="s">
        <v>77</v>
      </c>
      <c r="B71" s="124">
        <f>B61</f>
        <v>14262</v>
      </c>
      <c r="C71" s="124">
        <f t="shared" ref="C71:H71" si="103">C61</f>
        <v>18116</v>
      </c>
      <c r="D71" s="124">
        <f t="shared" si="103"/>
        <v>17708</v>
      </c>
      <c r="E71" s="124">
        <f t="shared" si="103"/>
        <v>18705</v>
      </c>
      <c r="F71" s="124">
        <f t="shared" si="103"/>
        <v>20292</v>
      </c>
      <c r="G71" s="124">
        <f t="shared" si="103"/>
        <v>15169</v>
      </c>
      <c r="H71" s="124">
        <f t="shared" si="103"/>
        <v>22423</v>
      </c>
      <c r="I71" s="124">
        <f>H71*(1+I72)</f>
        <v>22983.574999999997</v>
      </c>
      <c r="J71" s="124">
        <f t="shared" ref="J71:O71" si="104">I71*(1+J72)</f>
        <v>23558.164374999997</v>
      </c>
      <c r="K71" s="124">
        <f t="shared" si="104"/>
        <v>24147.118484374994</v>
      </c>
      <c r="L71" s="124">
        <f t="shared" si="104"/>
        <v>24750.796446484368</v>
      </c>
      <c r="M71" s="124">
        <f t="shared" si="104"/>
        <v>25369.566357646476</v>
      </c>
      <c r="N71" s="124">
        <f t="shared" si="104"/>
        <v>26003.805516587636</v>
      </c>
      <c r="O71" s="124">
        <f t="shared" si="104"/>
        <v>26653.900654502326</v>
      </c>
      <c r="P71" s="303"/>
      <c r="Q71" s="303"/>
      <c r="R71" s="303"/>
      <c r="S71" s="303"/>
      <c r="T71" s="303"/>
      <c r="U71" s="303"/>
      <c r="V71" s="303"/>
      <c r="W71" s="303"/>
      <c r="X71" s="303"/>
      <c r="Y71" s="303"/>
      <c r="Z71" s="107"/>
      <c r="AA71" s="107"/>
      <c r="AB71" s="107"/>
      <c r="AC71" s="237"/>
      <c r="AD71" s="393"/>
      <c r="AE71" s="394"/>
      <c r="AJ71" s="146"/>
      <c r="AK71" s="146"/>
      <c r="AL71" s="146"/>
      <c r="AM71" s="146"/>
      <c r="AN71" s="146"/>
      <c r="AO71" s="146"/>
      <c r="AP71" s="146"/>
      <c r="AQ71" s="146"/>
      <c r="AR71" s="146"/>
      <c r="AS71" s="146"/>
      <c r="AT71" s="146"/>
      <c r="AU71" s="146"/>
      <c r="AV71" s="146"/>
      <c r="AW71" s="146"/>
      <c r="AX71" s="146"/>
      <c r="AY71" s="146"/>
      <c r="AZ71" s="146"/>
      <c r="BA71" s="146"/>
      <c r="BB71" s="146"/>
      <c r="BC71" s="146"/>
    </row>
    <row r="72" spans="1:55" s="147" customFormat="1" ht="25" customHeight="1" x14ac:dyDescent="0.35">
      <c r="A72" s="124" t="s">
        <v>79</v>
      </c>
      <c r="B72" s="127">
        <f>$AE$75</f>
        <v>2.5000000000000001E-2</v>
      </c>
      <c r="C72" s="126">
        <f>C71/B71-1</f>
        <v>0.27022857944187351</v>
      </c>
      <c r="D72" s="126">
        <f t="shared" ref="D72" si="105">D71/C71-1</f>
        <v>-2.2521527931110619E-2</v>
      </c>
      <c r="E72" s="126">
        <f>E71/D71-1</f>
        <v>5.630223627738884E-2</v>
      </c>
      <c r="F72" s="126">
        <f t="shared" ref="F72:G72" si="106">F71/E71-1</f>
        <v>8.4843624699278308E-2</v>
      </c>
      <c r="G72" s="126">
        <f t="shared" si="106"/>
        <v>-0.25246402523161837</v>
      </c>
      <c r="H72" s="126">
        <f>H71/G71-1</f>
        <v>0.47821214318676253</v>
      </c>
      <c r="I72" s="127">
        <f>B72</f>
        <v>2.5000000000000001E-2</v>
      </c>
      <c r="J72" s="126">
        <f>I72</f>
        <v>2.5000000000000001E-2</v>
      </c>
      <c r="K72" s="126">
        <f t="shared" ref="K72:O72" si="107">J72</f>
        <v>2.5000000000000001E-2</v>
      </c>
      <c r="L72" s="126">
        <f t="shared" si="107"/>
        <v>2.5000000000000001E-2</v>
      </c>
      <c r="M72" s="126">
        <f t="shared" si="107"/>
        <v>2.5000000000000001E-2</v>
      </c>
      <c r="N72" s="126">
        <f t="shared" si="107"/>
        <v>2.5000000000000001E-2</v>
      </c>
      <c r="O72" s="126">
        <f t="shared" si="107"/>
        <v>2.5000000000000001E-2</v>
      </c>
      <c r="P72" s="299"/>
      <c r="Q72" s="299"/>
      <c r="R72" s="299"/>
      <c r="S72" s="299"/>
      <c r="T72" s="299"/>
      <c r="U72" s="299"/>
      <c r="V72" s="299"/>
      <c r="W72" s="299"/>
      <c r="X72" s="299"/>
      <c r="Y72" s="299"/>
      <c r="Z72" s="107"/>
      <c r="AA72" s="107"/>
      <c r="AB72" s="107"/>
      <c r="AC72" s="237"/>
      <c r="AD72" s="147" t="s">
        <v>89</v>
      </c>
      <c r="AE72" s="147" t="s">
        <v>90</v>
      </c>
      <c r="AJ72" s="146"/>
      <c r="AK72" s="146"/>
      <c r="AL72" s="146"/>
      <c r="AM72" s="146"/>
      <c r="AN72" s="146"/>
      <c r="AO72" s="146"/>
      <c r="AP72" s="146"/>
      <c r="AQ72" s="146"/>
      <c r="AR72" s="146"/>
      <c r="AS72" s="146"/>
      <c r="AT72" s="146"/>
      <c r="AU72" s="146"/>
      <c r="AV72" s="146"/>
      <c r="AW72" s="146"/>
      <c r="AX72" s="146"/>
      <c r="AY72" s="146"/>
      <c r="AZ72" s="146"/>
      <c r="BA72" s="146"/>
      <c r="BB72" s="146"/>
      <c r="BC72" s="146"/>
    </row>
    <row r="73" spans="1:55" s="147" customFormat="1" ht="25" customHeight="1" x14ac:dyDescent="0.35">
      <c r="A73" s="373" t="s">
        <v>55</v>
      </c>
      <c r="B73" s="374"/>
      <c r="C73" s="374"/>
      <c r="D73" s="374"/>
      <c r="E73" s="374"/>
      <c r="F73" s="374"/>
      <c r="G73" s="374"/>
      <c r="H73" s="374"/>
      <c r="I73" s="374"/>
      <c r="J73" s="374"/>
      <c r="K73" s="374"/>
      <c r="L73" s="374"/>
      <c r="M73" s="374"/>
      <c r="N73" s="374"/>
      <c r="O73" s="375"/>
      <c r="P73" s="297"/>
      <c r="Q73" s="297"/>
      <c r="R73" s="297"/>
      <c r="S73" s="297"/>
      <c r="T73" s="297"/>
      <c r="U73" s="297"/>
      <c r="V73" s="297"/>
      <c r="W73" s="297"/>
      <c r="X73" s="297"/>
      <c r="Y73" s="297"/>
      <c r="Z73" s="107"/>
      <c r="AA73" s="107"/>
      <c r="AB73" s="107"/>
      <c r="AC73" s="237"/>
      <c r="AD73" s="147" t="s">
        <v>91</v>
      </c>
      <c r="AJ73" s="146"/>
      <c r="AK73" s="146"/>
      <c r="AL73" s="146"/>
      <c r="AM73" s="146"/>
      <c r="AN73" s="146"/>
      <c r="AO73" s="146"/>
      <c r="AP73" s="146"/>
      <c r="AQ73" s="146"/>
      <c r="AR73" s="146"/>
      <c r="AS73" s="146"/>
      <c r="AT73" s="146"/>
      <c r="AU73" s="146"/>
      <c r="AV73" s="146"/>
      <c r="AW73" s="146"/>
      <c r="AX73" s="146"/>
      <c r="AY73" s="146"/>
      <c r="AZ73" s="146"/>
      <c r="BA73" s="146"/>
      <c r="BB73" s="146"/>
      <c r="BC73" s="146"/>
    </row>
    <row r="74" spans="1:55" s="147" customFormat="1" ht="25" customHeight="1" x14ac:dyDescent="0.35">
      <c r="A74" s="120" t="s">
        <v>69</v>
      </c>
      <c r="B74" s="120"/>
      <c r="C74" s="120"/>
      <c r="D74" s="120"/>
      <c r="E74" s="120"/>
      <c r="F74" s="120"/>
      <c r="G74" s="120"/>
      <c r="H74" s="120"/>
      <c r="I74" s="121">
        <f t="shared" ref="I74:O74" si="108">I75*I29</f>
        <v>499331840.94444406</v>
      </c>
      <c r="J74" s="121">
        <f t="shared" si="108"/>
        <v>494886605.47135758</v>
      </c>
      <c r="K74" s="121">
        <f t="shared" si="108"/>
        <v>471083777.48007423</v>
      </c>
      <c r="L74" s="121">
        <f t="shared" si="108"/>
        <v>509456806.66391343</v>
      </c>
      <c r="M74" s="121">
        <f t="shared" si="108"/>
        <v>551612118.77889299</v>
      </c>
      <c r="N74" s="121">
        <f t="shared" si="108"/>
        <v>597995854.6983043</v>
      </c>
      <c r="O74" s="121">
        <f t="shared" si="108"/>
        <v>649115577.71475041</v>
      </c>
      <c r="P74" s="301"/>
      <c r="Q74" s="301"/>
      <c r="R74" s="301"/>
      <c r="S74" s="301"/>
      <c r="T74" s="301"/>
      <c r="U74" s="301"/>
      <c r="V74" s="301"/>
      <c r="W74" s="301"/>
      <c r="X74" s="301"/>
      <c r="Y74" s="301"/>
      <c r="Z74" s="107"/>
      <c r="AA74" s="107"/>
      <c r="AB74" s="107"/>
      <c r="AC74" s="237"/>
      <c r="AD74" s="147" t="s">
        <v>92</v>
      </c>
      <c r="AJ74" s="146"/>
      <c r="AK74" s="146"/>
      <c r="AL74" s="146"/>
      <c r="AM74" s="146"/>
      <c r="AN74" s="146"/>
      <c r="AO74" s="146"/>
      <c r="AP74" s="146"/>
      <c r="AQ74" s="146"/>
      <c r="AR74" s="146"/>
      <c r="AS74" s="146"/>
      <c r="AT74" s="146"/>
      <c r="AU74" s="146"/>
      <c r="AV74" s="146"/>
      <c r="AW74" s="146"/>
      <c r="AX74" s="146"/>
      <c r="AY74" s="146"/>
      <c r="AZ74" s="146"/>
      <c r="BA74" s="146"/>
      <c r="BB74" s="146"/>
      <c r="BC74" s="146"/>
    </row>
    <row r="75" spans="1:55" s="145" customFormat="1" ht="25" customHeight="1" x14ac:dyDescent="0.35">
      <c r="A75" s="120" t="s">
        <v>13</v>
      </c>
      <c r="B75" s="120"/>
      <c r="C75" s="120"/>
      <c r="D75" s="120"/>
      <c r="E75" s="120"/>
      <c r="F75" s="120"/>
      <c r="G75" s="120"/>
      <c r="H75" s="121"/>
      <c r="I75" s="275">
        <f>'PHP Requirement'!D10</f>
        <v>134.30119444444435</v>
      </c>
      <c r="J75" s="275">
        <f>I75*(1+J76)</f>
        <v>131.63888204087792</v>
      </c>
      <c r="K75" s="275">
        <f t="shared" ref="K75:O75" si="109">J75*(1+K76)</f>
        <v>123.79025735913172</v>
      </c>
      <c r="L75" s="275">
        <f t="shared" si="109"/>
        <v>132.10165737100121</v>
      </c>
      <c r="M75" s="275">
        <f t="shared" si="109"/>
        <v>140.97109297978281</v>
      </c>
      <c r="N75" s="275">
        <f t="shared" si="109"/>
        <v>150.436031246017</v>
      </c>
      <c r="O75" s="275">
        <f t="shared" si="109"/>
        <v>160.53645480565436</v>
      </c>
      <c r="P75" s="298"/>
      <c r="Q75" s="298"/>
      <c r="R75" s="298"/>
      <c r="S75" s="298"/>
      <c r="T75" s="298"/>
      <c r="U75" s="298"/>
      <c r="V75" s="298"/>
      <c r="W75" s="298"/>
      <c r="X75" s="298"/>
      <c r="Y75" s="298"/>
      <c r="Z75" s="107"/>
      <c r="AA75" s="107"/>
      <c r="AB75" s="107"/>
      <c r="AC75" s="236"/>
      <c r="AD75" s="147" t="s">
        <v>93</v>
      </c>
      <c r="AE75" s="293">
        <v>2.5000000000000001E-2</v>
      </c>
      <c r="AF75" s="147"/>
      <c r="AG75" s="147"/>
      <c r="AH75" s="147"/>
      <c r="AI75" s="147"/>
    </row>
    <row r="76" spans="1:55" s="147" customFormat="1" ht="25" customHeight="1" x14ac:dyDescent="0.35">
      <c r="A76" s="124" t="s">
        <v>31</v>
      </c>
      <c r="B76" s="120"/>
      <c r="C76" s="120"/>
      <c r="D76" s="120"/>
      <c r="E76" s="120"/>
      <c r="F76" s="120"/>
      <c r="G76" s="120"/>
      <c r="H76" s="125">
        <v>15440.3</v>
      </c>
      <c r="I76" s="126">
        <f>(1+I78)*(1+I80)*(1+I82)-1</f>
        <v>-5.9622389373596762E-2</v>
      </c>
      <c r="J76" s="126">
        <f>(1+J78)*(1+J80)*(1+J82)-1</f>
        <v>-1.9823445462115674E-2</v>
      </c>
      <c r="K76" s="126">
        <f t="shared" ref="K76:O76" si="110">(1+K78)*(1+K80)*(1+K82)-1</f>
        <v>-5.9622389373596762E-2</v>
      </c>
      <c r="L76" s="126">
        <f t="shared" si="110"/>
        <v>6.7140986610578324E-2</v>
      </c>
      <c r="M76" s="126">
        <f t="shared" si="110"/>
        <v>6.7140986610578324E-2</v>
      </c>
      <c r="N76" s="126">
        <f t="shared" si="110"/>
        <v>6.7140986610578324E-2</v>
      </c>
      <c r="O76" s="126">
        <f t="shared" si="110"/>
        <v>6.7140986610578324E-2</v>
      </c>
      <c r="P76" s="299"/>
      <c r="Q76" s="299"/>
      <c r="R76" s="299"/>
      <c r="S76" s="299"/>
      <c r="T76" s="299"/>
      <c r="U76" s="299"/>
      <c r="V76" s="299"/>
      <c r="W76" s="299"/>
      <c r="X76" s="299"/>
      <c r="Y76" s="299"/>
      <c r="Z76" s="107"/>
      <c r="AA76" s="107"/>
      <c r="AB76" s="107"/>
      <c r="AC76" s="237"/>
      <c r="AJ76" s="146"/>
      <c r="AK76" s="146"/>
      <c r="AL76" s="146"/>
      <c r="AM76" s="146"/>
      <c r="AN76" s="146"/>
      <c r="AO76" s="146"/>
      <c r="AP76" s="146"/>
      <c r="AQ76" s="146"/>
      <c r="AR76" s="146"/>
      <c r="AS76" s="146"/>
      <c r="AT76" s="146"/>
      <c r="AU76" s="146"/>
      <c r="AV76" s="146"/>
      <c r="AW76" s="146"/>
      <c r="AX76" s="146"/>
      <c r="AY76" s="146"/>
      <c r="AZ76" s="146"/>
      <c r="BA76" s="146"/>
      <c r="BB76" s="146"/>
      <c r="BC76" s="146"/>
    </row>
    <row r="77" spans="1:55" s="147" customFormat="1" ht="25" customHeight="1" x14ac:dyDescent="0.35">
      <c r="A77" s="124" t="s">
        <v>71</v>
      </c>
      <c r="B77" s="274">
        <f>B57</f>
        <v>4.9756765873015887</v>
      </c>
      <c r="C77" s="274">
        <f t="shared" ref="C77:H77" si="111">C57</f>
        <v>4.9413849206349205</v>
      </c>
      <c r="D77" s="274">
        <f t="shared" si="111"/>
        <v>5.4980454545454513</v>
      </c>
      <c r="E77" s="274">
        <f t="shared" si="111"/>
        <v>7.0401862745098018</v>
      </c>
      <c r="F77" s="274">
        <f t="shared" si="111"/>
        <v>9.5239011627907004</v>
      </c>
      <c r="G77" s="274">
        <f t="shared" si="111"/>
        <v>7.2274918287937746</v>
      </c>
      <c r="H77" s="274">
        <f t="shared" si="111"/>
        <v>6.3670274725274725</v>
      </c>
      <c r="I77" s="289">
        <f>H77*(1+I78)</f>
        <v>5.964985918086871</v>
      </c>
      <c r="J77" s="289">
        <f t="shared" ref="J77:O77" si="112">I77*(1+J78)</f>
        <v>5.5883310000624702</v>
      </c>
      <c r="K77" s="289">
        <f t="shared" si="112"/>
        <v>5.2354596968227742</v>
      </c>
      <c r="L77" s="289">
        <f t="shared" si="112"/>
        <v>5.5660491852149443</v>
      </c>
      <c r="M77" s="289">
        <f t="shared" si="112"/>
        <v>5.9175135186377661</v>
      </c>
      <c r="N77" s="289">
        <f t="shared" si="112"/>
        <v>6.2911708247702922</v>
      </c>
      <c r="O77" s="289">
        <f t="shared" si="112"/>
        <v>6.6884224635539349</v>
      </c>
      <c r="P77" s="302"/>
      <c r="Q77" s="302"/>
      <c r="R77" s="302"/>
      <c r="S77" s="302"/>
      <c r="T77" s="302"/>
      <c r="U77" s="302"/>
      <c r="V77" s="302"/>
      <c r="W77" s="302"/>
      <c r="X77" s="302"/>
      <c r="Y77" s="302"/>
      <c r="Z77" s="107"/>
      <c r="AA77" s="107"/>
      <c r="AB77" s="107"/>
      <c r="AC77" s="237"/>
      <c r="AJ77" s="146"/>
      <c r="AK77" s="146"/>
      <c r="AL77" s="146"/>
      <c r="AM77" s="146"/>
      <c r="AN77" s="146"/>
      <c r="AO77" s="146"/>
      <c r="AP77" s="146"/>
      <c r="AQ77" s="146"/>
      <c r="AR77" s="146"/>
      <c r="AS77" s="146"/>
      <c r="AT77" s="146"/>
      <c r="AU77" s="146"/>
      <c r="AV77" s="146"/>
      <c r="AW77" s="146"/>
      <c r="AX77" s="146"/>
      <c r="AY77" s="146"/>
      <c r="AZ77" s="146"/>
      <c r="BA77" s="146"/>
      <c r="BB77" s="146"/>
      <c r="BC77" s="146"/>
    </row>
    <row r="78" spans="1:55" s="145" customFormat="1" ht="25" customHeight="1" x14ac:dyDescent="0.35">
      <c r="A78" s="127" t="s">
        <v>72</v>
      </c>
      <c r="B78" s="127">
        <f>AVERAGE(C78:H78)</f>
        <v>6.3144309675957147E-2</v>
      </c>
      <c r="C78" s="126">
        <f>C77/B77-1</f>
        <v>-6.8918600445583289E-3</v>
      </c>
      <c r="D78" s="126">
        <f t="shared" ref="D78" si="113">D77/C77-1</f>
        <v>0.11265273660142339</v>
      </c>
      <c r="E78" s="126">
        <f>E77/D77-1</f>
        <v>0.28048891787342378</v>
      </c>
      <c r="F78" s="126">
        <f t="shared" ref="F78:G78" si="114">F77/E77-1</f>
        <v>0.35279107561025946</v>
      </c>
      <c r="G78" s="126">
        <f t="shared" si="114"/>
        <v>-0.24112065998425691</v>
      </c>
      <c r="H78" s="126">
        <f>H77/G77-1</f>
        <v>-0.11905435200054848</v>
      </c>
      <c r="I78" s="127">
        <f>-B78</f>
        <v>-6.3144309675957147E-2</v>
      </c>
      <c r="J78" s="127">
        <f>-B78</f>
        <v>-6.3144309675957147E-2</v>
      </c>
      <c r="K78" s="127">
        <f>J78</f>
        <v>-6.3144309675957147E-2</v>
      </c>
      <c r="L78" s="127">
        <f>-K78</f>
        <v>6.3144309675957147E-2</v>
      </c>
      <c r="M78" s="127">
        <f t="shared" ref="M78:O78" si="115">L78</f>
        <v>6.3144309675957147E-2</v>
      </c>
      <c r="N78" s="127">
        <f t="shared" si="115"/>
        <v>6.3144309675957147E-2</v>
      </c>
      <c r="O78" s="127">
        <f t="shared" si="115"/>
        <v>6.3144309675957147E-2</v>
      </c>
      <c r="P78" s="300"/>
      <c r="Q78" s="300"/>
      <c r="R78" s="300"/>
      <c r="S78" s="300"/>
      <c r="T78" s="300"/>
      <c r="U78" s="300"/>
      <c r="V78" s="300"/>
      <c r="W78" s="300"/>
      <c r="X78" s="300"/>
      <c r="Y78" s="300"/>
      <c r="Z78" s="107"/>
      <c r="AA78" s="107"/>
      <c r="AB78" s="107"/>
      <c r="AC78" s="236"/>
      <c r="AD78" s="147"/>
      <c r="AE78" s="147"/>
      <c r="AF78" s="147"/>
      <c r="AG78" s="147"/>
      <c r="AH78" s="147"/>
      <c r="AI78" s="147"/>
    </row>
    <row r="79" spans="1:55" s="147" customFormat="1" ht="25" customHeight="1" x14ac:dyDescent="0.35">
      <c r="A79" s="124" t="s">
        <v>66</v>
      </c>
      <c r="B79" s="124">
        <f>B59</f>
        <v>0.12253531746031747</v>
      </c>
      <c r="C79" s="124">
        <f t="shared" ref="C79:H79" si="116">C59</f>
        <v>0.12333888888888893</v>
      </c>
      <c r="D79" s="124">
        <f t="shared" si="116"/>
        <v>0.12819525691699604</v>
      </c>
      <c r="E79" s="124">
        <f t="shared" si="116"/>
        <v>0.17712196078431353</v>
      </c>
      <c r="F79" s="124">
        <f t="shared" si="116"/>
        <v>0.18729883720930229</v>
      </c>
      <c r="G79" s="124">
        <f t="shared" si="116"/>
        <v>0.23972490272373539</v>
      </c>
      <c r="H79" s="124">
        <f t="shared" si="116"/>
        <v>0.20599780219780214</v>
      </c>
      <c r="I79" s="124">
        <f>H79*(1+I80)</f>
        <v>0.20172898483026</v>
      </c>
      <c r="J79" s="124">
        <f t="shared" ref="J79:O79" si="117">I79*(1+J80)</f>
        <v>0.20590934105150344</v>
      </c>
      <c r="K79" s="124">
        <f t="shared" si="117"/>
        <v>0.20164235683205145</v>
      </c>
      <c r="L79" s="124">
        <f t="shared" si="117"/>
        <v>0.19746379577123846</v>
      </c>
      <c r="M79" s="124">
        <f t="shared" si="117"/>
        <v>0.19337182550817877</v>
      </c>
      <c r="N79" s="124">
        <f t="shared" si="117"/>
        <v>0.18936465165333341</v>
      </c>
      <c r="O79" s="124">
        <f t="shared" si="117"/>
        <v>0.18544051700164371</v>
      </c>
      <c r="P79" s="303"/>
      <c r="Q79" s="303"/>
      <c r="R79" s="303"/>
      <c r="S79" s="303"/>
      <c r="T79" s="303"/>
      <c r="U79" s="303"/>
      <c r="V79" s="303"/>
      <c r="W79" s="303"/>
      <c r="X79" s="303"/>
      <c r="Y79" s="303"/>
      <c r="Z79" s="107"/>
      <c r="AA79" s="107"/>
      <c r="AB79" s="107"/>
      <c r="AC79" s="237"/>
      <c r="AJ79" s="146"/>
      <c r="AK79" s="146"/>
      <c r="AL79" s="146"/>
      <c r="AM79" s="146"/>
      <c r="AN79" s="146"/>
      <c r="AO79" s="146"/>
      <c r="AP79" s="146"/>
      <c r="AQ79" s="146"/>
      <c r="AR79" s="146"/>
      <c r="AS79" s="146"/>
      <c r="AT79" s="146"/>
      <c r="AU79" s="146"/>
      <c r="AV79" s="146"/>
      <c r="AW79" s="146"/>
      <c r="AX79" s="146"/>
      <c r="AY79" s="146"/>
      <c r="AZ79" s="146"/>
      <c r="BA79" s="146"/>
      <c r="BB79" s="146"/>
      <c r="BC79" s="146"/>
    </row>
    <row r="80" spans="1:55" s="147" customFormat="1" ht="25" customHeight="1" x14ac:dyDescent="0.35">
      <c r="A80" s="124" t="s">
        <v>74</v>
      </c>
      <c r="B80" s="127">
        <f>B60</f>
        <v>-2.0722635494155206E-2</v>
      </c>
      <c r="C80" s="126">
        <f>C79/B79-1</f>
        <v>6.5578760901459088E-3</v>
      </c>
      <c r="D80" s="126">
        <f t="shared" ref="D80" si="118">D79/C79-1</f>
        <v>3.9374183372788529E-2</v>
      </c>
      <c r="E80" s="126">
        <f>E79/D79-1</f>
        <v>0.38165767629762293</v>
      </c>
      <c r="F80" s="126">
        <f t="shared" ref="F80:G80" si="119">F79/E79-1</f>
        <v>5.7456886655525619E-2</v>
      </c>
      <c r="G80" s="126">
        <f t="shared" si="119"/>
        <v>0.27990598497869024</v>
      </c>
      <c r="H80" s="126">
        <f>H79/G79-1</f>
        <v>-0.14069085081578347</v>
      </c>
      <c r="I80" s="127">
        <f>B80</f>
        <v>-2.0722635494155206E-2</v>
      </c>
      <c r="J80" s="126">
        <f>-I80</f>
        <v>2.0722635494155206E-2</v>
      </c>
      <c r="K80" s="126">
        <f>-J80</f>
        <v>-2.0722635494155206E-2</v>
      </c>
      <c r="L80" s="126">
        <f t="shared" ref="L80:O80" si="120">K80</f>
        <v>-2.0722635494155206E-2</v>
      </c>
      <c r="M80" s="126">
        <f t="shared" si="120"/>
        <v>-2.0722635494155206E-2</v>
      </c>
      <c r="N80" s="126">
        <f t="shared" si="120"/>
        <v>-2.0722635494155206E-2</v>
      </c>
      <c r="O80" s="126">
        <f t="shared" si="120"/>
        <v>-2.0722635494155206E-2</v>
      </c>
      <c r="P80" s="299"/>
      <c r="Q80" s="299"/>
      <c r="R80" s="299"/>
      <c r="S80" s="299"/>
      <c r="T80" s="299"/>
      <c r="U80" s="299"/>
      <c r="V80" s="299"/>
      <c r="W80" s="299"/>
      <c r="X80" s="299"/>
      <c r="Y80" s="299"/>
      <c r="Z80" s="107"/>
      <c r="AA80" s="107"/>
      <c r="AB80" s="107"/>
      <c r="AC80" s="237"/>
      <c r="AJ80" s="146"/>
      <c r="AK80" s="146"/>
      <c r="AL80" s="146"/>
      <c r="AM80" s="146"/>
      <c r="AN80" s="146"/>
      <c r="AO80" s="146"/>
      <c r="AP80" s="146"/>
      <c r="AQ80" s="146"/>
      <c r="AR80" s="146"/>
      <c r="AS80" s="146"/>
      <c r="AT80" s="146"/>
      <c r="AU80" s="146"/>
      <c r="AV80" s="146"/>
      <c r="AW80" s="146"/>
      <c r="AX80" s="146"/>
      <c r="AY80" s="146"/>
      <c r="AZ80" s="146"/>
      <c r="BA80" s="146"/>
      <c r="BB80" s="146"/>
      <c r="BC80" s="146"/>
    </row>
    <row r="81" spans="1:55" s="147" customFormat="1" ht="25" customHeight="1" x14ac:dyDescent="0.35">
      <c r="A81" s="124" t="s">
        <v>77</v>
      </c>
      <c r="B81" s="124">
        <f>B61</f>
        <v>14262</v>
      </c>
      <c r="C81" s="124">
        <f t="shared" ref="C81:H81" si="121">C61</f>
        <v>18116</v>
      </c>
      <c r="D81" s="124">
        <f t="shared" si="121"/>
        <v>17708</v>
      </c>
      <c r="E81" s="124">
        <f t="shared" si="121"/>
        <v>18705</v>
      </c>
      <c r="F81" s="124">
        <f t="shared" si="121"/>
        <v>20292</v>
      </c>
      <c r="G81" s="124">
        <f t="shared" si="121"/>
        <v>15169</v>
      </c>
      <c r="H81" s="124">
        <f t="shared" si="121"/>
        <v>22423</v>
      </c>
      <c r="I81" s="124">
        <f>H81*(1+I82)</f>
        <v>22983.574999999997</v>
      </c>
      <c r="J81" s="124">
        <f t="shared" ref="J81:O81" si="122">I81*(1+J82)</f>
        <v>23558.164374999997</v>
      </c>
      <c r="K81" s="124">
        <f t="shared" si="122"/>
        <v>24147.118484374994</v>
      </c>
      <c r="L81" s="124">
        <f t="shared" si="122"/>
        <v>24750.796446484368</v>
      </c>
      <c r="M81" s="124">
        <f t="shared" si="122"/>
        <v>25369.566357646476</v>
      </c>
      <c r="N81" s="124">
        <f t="shared" si="122"/>
        <v>26003.805516587636</v>
      </c>
      <c r="O81" s="124">
        <f t="shared" si="122"/>
        <v>26653.900654502326</v>
      </c>
      <c r="P81" s="303"/>
      <c r="Q81" s="303"/>
      <c r="R81" s="303"/>
      <c r="S81" s="303"/>
      <c r="T81" s="303"/>
      <c r="U81" s="303"/>
      <c r="V81" s="303"/>
      <c r="W81" s="303"/>
      <c r="X81" s="303"/>
      <c r="Y81" s="303"/>
      <c r="Z81" s="107"/>
      <c r="AA81" s="107"/>
      <c r="AB81" s="107"/>
      <c r="AC81" s="237"/>
      <c r="AJ81" s="146"/>
      <c r="AK81" s="146"/>
      <c r="AL81" s="146"/>
      <c r="AM81" s="146"/>
      <c r="AN81" s="146"/>
      <c r="AO81" s="146"/>
      <c r="AP81" s="146"/>
      <c r="AQ81" s="146"/>
      <c r="AR81" s="146"/>
      <c r="AS81" s="146"/>
      <c r="AT81" s="146"/>
      <c r="AU81" s="146"/>
      <c r="AV81" s="146"/>
      <c r="AW81" s="146"/>
      <c r="AX81" s="146"/>
      <c r="AY81" s="146"/>
      <c r="AZ81" s="146"/>
      <c r="BA81" s="146"/>
      <c r="BB81" s="146"/>
      <c r="BC81" s="146"/>
    </row>
    <row r="82" spans="1:55" s="145" customFormat="1" ht="25" customHeight="1" x14ac:dyDescent="0.35">
      <c r="A82" s="124" t="s">
        <v>79</v>
      </c>
      <c r="B82" s="127">
        <f>$AE$75</f>
        <v>2.5000000000000001E-2</v>
      </c>
      <c r="C82" s="126">
        <f>C81/B81-1</f>
        <v>0.27022857944187351</v>
      </c>
      <c r="D82" s="126">
        <f t="shared" ref="D82" si="123">D81/C81-1</f>
        <v>-2.2521527931110619E-2</v>
      </c>
      <c r="E82" s="126">
        <f>E81/D81-1</f>
        <v>5.630223627738884E-2</v>
      </c>
      <c r="F82" s="126">
        <f t="shared" ref="F82:G82" si="124">F81/E81-1</f>
        <v>8.4843624699278308E-2</v>
      </c>
      <c r="G82" s="126">
        <f t="shared" si="124"/>
        <v>-0.25246402523161837</v>
      </c>
      <c r="H82" s="126">
        <f>H81/G81-1</f>
        <v>0.47821214318676253</v>
      </c>
      <c r="I82" s="127">
        <f>B82</f>
        <v>2.5000000000000001E-2</v>
      </c>
      <c r="J82" s="126">
        <f>I82</f>
        <v>2.5000000000000001E-2</v>
      </c>
      <c r="K82" s="126">
        <f t="shared" ref="K82:O82" si="125">J82</f>
        <v>2.5000000000000001E-2</v>
      </c>
      <c r="L82" s="126">
        <f t="shared" si="125"/>
        <v>2.5000000000000001E-2</v>
      </c>
      <c r="M82" s="126">
        <f t="shared" si="125"/>
        <v>2.5000000000000001E-2</v>
      </c>
      <c r="N82" s="126">
        <f t="shared" si="125"/>
        <v>2.5000000000000001E-2</v>
      </c>
      <c r="O82" s="126">
        <f t="shared" si="125"/>
        <v>2.5000000000000001E-2</v>
      </c>
      <c r="P82" s="299"/>
      <c r="Q82" s="299"/>
      <c r="R82" s="299"/>
      <c r="S82" s="299"/>
      <c r="T82" s="299"/>
      <c r="U82" s="299"/>
      <c r="V82" s="299"/>
      <c r="W82" s="299"/>
      <c r="X82" s="299"/>
      <c r="Y82" s="299"/>
      <c r="Z82" s="107"/>
      <c r="AA82" s="107"/>
      <c r="AB82" s="107"/>
      <c r="AC82" s="236"/>
      <c r="AD82" s="147"/>
      <c r="AE82" s="147"/>
      <c r="AF82" s="147"/>
      <c r="AG82" s="147"/>
      <c r="AH82" s="147"/>
      <c r="AI82" s="147"/>
    </row>
    <row r="83" spans="1:55" s="147" customFormat="1" ht="25" customHeight="1" x14ac:dyDescent="0.35">
      <c r="A83" s="373" t="s">
        <v>5</v>
      </c>
      <c r="B83" s="374"/>
      <c r="C83" s="374"/>
      <c r="D83" s="374"/>
      <c r="E83" s="374"/>
      <c r="F83" s="374"/>
      <c r="G83" s="374"/>
      <c r="H83" s="374"/>
      <c r="I83" s="374"/>
      <c r="J83" s="374"/>
      <c r="K83" s="374"/>
      <c r="L83" s="374"/>
      <c r="M83" s="374"/>
      <c r="N83" s="374"/>
      <c r="O83" s="375"/>
      <c r="P83" s="297"/>
      <c r="Q83" s="297"/>
      <c r="R83" s="297"/>
      <c r="S83" s="297"/>
      <c r="T83" s="297"/>
      <c r="U83" s="297"/>
      <c r="V83" s="297"/>
      <c r="W83" s="297"/>
      <c r="X83" s="297"/>
      <c r="Y83" s="297"/>
      <c r="Z83" s="107"/>
      <c r="AA83" s="107"/>
      <c r="AB83" s="107"/>
      <c r="AC83" s="237"/>
      <c r="AJ83" s="146"/>
      <c r="AK83" s="146"/>
      <c r="AL83" s="146"/>
      <c r="AM83" s="146"/>
      <c r="AN83" s="146"/>
      <c r="AO83" s="146"/>
      <c r="AP83" s="146"/>
      <c r="AQ83" s="146"/>
      <c r="AR83" s="146"/>
      <c r="AS83" s="146"/>
      <c r="AT83" s="146"/>
      <c r="AU83" s="146"/>
      <c r="AV83" s="146"/>
      <c r="AW83" s="146"/>
      <c r="AX83" s="146"/>
      <c r="AY83" s="146"/>
      <c r="AZ83" s="146"/>
      <c r="BA83" s="146"/>
      <c r="BB83" s="146"/>
      <c r="BC83" s="146"/>
    </row>
    <row r="84" spans="1:55" s="147" customFormat="1" ht="25" customHeight="1" x14ac:dyDescent="0.35">
      <c r="A84" s="120" t="s">
        <v>69</v>
      </c>
      <c r="B84" s="120"/>
      <c r="C84" s="120"/>
      <c r="D84" s="120"/>
      <c r="E84" s="120"/>
      <c r="F84" s="120"/>
      <c r="G84" s="120"/>
      <c r="H84" s="120"/>
      <c r="I84" s="121">
        <f t="shared" ref="I84:O84" si="126">I85*I41</f>
        <v>160580794.97777766</v>
      </c>
      <c r="J84" s="121">
        <f t="shared" si="126"/>
        <v>163589465.61641014</v>
      </c>
      <c r="K84" s="121">
        <f t="shared" si="126"/>
        <v>160886588.30008659</v>
      </c>
      <c r="L84" s="121">
        <f t="shared" si="126"/>
        <v>180771775.76435694</v>
      </c>
      <c r="M84" s="121">
        <f t="shared" si="126"/>
        <v>204600475.24400237</v>
      </c>
      <c r="N84" s="121">
        <f t="shared" si="126"/>
        <v>233401609.39650407</v>
      </c>
      <c r="O84" s="121">
        <f t="shared" si="126"/>
        <v>268532374.72332406</v>
      </c>
      <c r="P84" s="301"/>
      <c r="Q84" s="301"/>
      <c r="R84" s="301"/>
      <c r="S84" s="301"/>
      <c r="T84" s="301"/>
      <c r="U84" s="301"/>
      <c r="V84" s="301"/>
      <c r="W84" s="301"/>
      <c r="X84" s="301"/>
      <c r="Y84" s="301"/>
      <c r="Z84" s="107"/>
      <c r="AA84" s="107"/>
      <c r="AB84" s="107"/>
      <c r="AC84" s="237"/>
      <c r="AD84" s="146"/>
      <c r="AE84" s="146"/>
      <c r="AF84" s="146"/>
      <c r="AG84" s="146"/>
      <c r="AH84" s="146"/>
      <c r="AI84" s="146"/>
      <c r="AJ84" s="146"/>
      <c r="AK84" s="146"/>
      <c r="AL84" s="146"/>
      <c r="AM84" s="146"/>
      <c r="AN84" s="146"/>
      <c r="AO84" s="146"/>
      <c r="AP84" s="146"/>
      <c r="AQ84" s="146"/>
      <c r="AR84" s="146"/>
      <c r="AS84" s="146"/>
      <c r="AT84" s="146"/>
      <c r="AU84" s="146"/>
      <c r="AV84" s="146"/>
      <c r="AW84" s="146"/>
      <c r="AX84" s="146"/>
      <c r="AY84" s="146"/>
      <c r="AZ84" s="146"/>
      <c r="BA84" s="146"/>
      <c r="BB84" s="146"/>
      <c r="BC84" s="146"/>
    </row>
    <row r="85" spans="1:55" s="147" customFormat="1" ht="25" customHeight="1" x14ac:dyDescent="0.35">
      <c r="A85" s="120" t="s">
        <v>81</v>
      </c>
      <c r="B85" s="120"/>
      <c r="C85" s="120"/>
      <c r="D85" s="120"/>
      <c r="E85" s="120"/>
      <c r="F85" s="120"/>
      <c r="G85" s="120"/>
      <c r="H85" s="121"/>
      <c r="I85" s="275">
        <f>'PHP Requirement'!F10</f>
        <v>141.73062222222211</v>
      </c>
      <c r="J85" s="275">
        <f>I85*(1+J86)</f>
        <v>138.92103296228817</v>
      </c>
      <c r="K85" s="275">
        <f t="shared" ref="K85:O85" si="127">J85*(1+K86)</f>
        <v>130.63822904282836</v>
      </c>
      <c r="L85" s="275">
        <f t="shared" si="127"/>
        <v>139.40940862982256</v>
      </c>
      <c r="M85" s="275">
        <f t="shared" si="127"/>
        <v>148.76949386802613</v>
      </c>
      <c r="N85" s="275">
        <f t="shared" si="127"/>
        <v>158.75802446388178</v>
      </c>
      <c r="O85" s="275">
        <f t="shared" si="127"/>
        <v>169.41719485873313</v>
      </c>
      <c r="P85" s="298"/>
      <c r="Q85" s="298"/>
      <c r="R85" s="298"/>
      <c r="S85" s="298"/>
      <c r="T85" s="298"/>
      <c r="U85" s="298"/>
      <c r="V85" s="298"/>
      <c r="W85" s="298"/>
      <c r="X85" s="298"/>
      <c r="Y85" s="298"/>
      <c r="Z85" s="107"/>
      <c r="AA85" s="107"/>
      <c r="AB85" s="107"/>
      <c r="AC85" s="237"/>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146"/>
      <c r="AZ85" s="146"/>
      <c r="BA85" s="146"/>
      <c r="BB85" s="146"/>
      <c r="BC85" s="146"/>
    </row>
    <row r="86" spans="1:55" s="147" customFormat="1" ht="25" customHeight="1" x14ac:dyDescent="0.35">
      <c r="A86" s="124" t="s">
        <v>31</v>
      </c>
      <c r="B86" s="120"/>
      <c r="C86" s="120"/>
      <c r="D86" s="120"/>
      <c r="E86" s="120"/>
      <c r="F86" s="120"/>
      <c r="G86" s="120"/>
      <c r="H86" s="125">
        <v>15440.3</v>
      </c>
      <c r="I86" s="126">
        <f>(1+I88)*(1+I90)*(1+I92)-1</f>
        <v>-5.9622389373596762E-2</v>
      </c>
      <c r="J86" s="126">
        <f t="shared" ref="J86:O86" si="128">(1+J88)*(1+J90)*(1+J92)-1</f>
        <v>-1.9823445462115674E-2</v>
      </c>
      <c r="K86" s="126">
        <f t="shared" si="128"/>
        <v>-5.9622389373596762E-2</v>
      </c>
      <c r="L86" s="126">
        <f t="shared" si="128"/>
        <v>6.7140986610578324E-2</v>
      </c>
      <c r="M86" s="126">
        <f t="shared" si="128"/>
        <v>6.7140986610578324E-2</v>
      </c>
      <c r="N86" s="126">
        <f t="shared" si="128"/>
        <v>6.7140986610578324E-2</v>
      </c>
      <c r="O86" s="126">
        <f t="shared" si="128"/>
        <v>6.7140986610578324E-2</v>
      </c>
      <c r="P86" s="299"/>
      <c r="Q86" s="299"/>
      <c r="R86" s="299"/>
      <c r="S86" s="299"/>
      <c r="T86" s="299"/>
      <c r="U86" s="299"/>
      <c r="V86" s="299"/>
      <c r="W86" s="299"/>
      <c r="X86" s="299"/>
      <c r="Y86" s="299"/>
      <c r="Z86" s="107"/>
      <c r="AA86" s="107"/>
      <c r="AB86" s="107"/>
      <c r="AC86" s="237"/>
      <c r="AD86" s="146"/>
      <c r="AE86" s="146"/>
      <c r="AF86" s="146"/>
      <c r="AG86" s="146"/>
      <c r="AH86" s="146"/>
      <c r="AI86" s="146"/>
      <c r="AJ86" s="146"/>
      <c r="AK86" s="146"/>
      <c r="AL86" s="146"/>
      <c r="AM86" s="146"/>
      <c r="AN86" s="146"/>
      <c r="AO86" s="146"/>
      <c r="AP86" s="146"/>
      <c r="AQ86" s="146"/>
      <c r="AR86" s="146"/>
      <c r="AS86" s="146"/>
      <c r="AT86" s="146"/>
      <c r="AU86" s="146"/>
      <c r="AV86" s="146"/>
      <c r="AW86" s="146"/>
      <c r="AX86" s="146"/>
      <c r="AY86" s="146"/>
      <c r="AZ86" s="146"/>
      <c r="BA86" s="146"/>
      <c r="BB86" s="146"/>
      <c r="BC86" s="146"/>
    </row>
    <row r="87" spans="1:55" s="147" customFormat="1" ht="100.5" customHeight="1" x14ac:dyDescent="0.35">
      <c r="A87" s="124" t="s">
        <v>71</v>
      </c>
      <c r="B87" s="274">
        <f t="shared" ref="B87:H87" si="129">B77</f>
        <v>4.9756765873015887</v>
      </c>
      <c r="C87" s="274">
        <f t="shared" si="129"/>
        <v>4.9413849206349205</v>
      </c>
      <c r="D87" s="274">
        <f t="shared" si="129"/>
        <v>5.4980454545454513</v>
      </c>
      <c r="E87" s="274">
        <f t="shared" si="129"/>
        <v>7.0401862745098018</v>
      </c>
      <c r="F87" s="274">
        <f t="shared" si="129"/>
        <v>9.5239011627907004</v>
      </c>
      <c r="G87" s="274">
        <f t="shared" si="129"/>
        <v>7.2274918287937746</v>
      </c>
      <c r="H87" s="274">
        <f t="shared" si="129"/>
        <v>6.3670274725274725</v>
      </c>
      <c r="I87" s="289">
        <f>H87*(1+I88)</f>
        <v>5.964985918086871</v>
      </c>
      <c r="J87" s="289">
        <f t="shared" ref="J87:O87" si="130">I87*(1+J88)</f>
        <v>5.5883310000624702</v>
      </c>
      <c r="K87" s="289">
        <f t="shared" si="130"/>
        <v>5.2354596968227742</v>
      </c>
      <c r="L87" s="289">
        <f t="shared" si="130"/>
        <v>5.5660491852149443</v>
      </c>
      <c r="M87" s="289">
        <f t="shared" si="130"/>
        <v>5.9175135186377661</v>
      </c>
      <c r="N87" s="289">
        <f t="shared" si="130"/>
        <v>6.2911708247702922</v>
      </c>
      <c r="O87" s="289">
        <f t="shared" si="130"/>
        <v>6.6884224635539349</v>
      </c>
      <c r="P87" s="302"/>
      <c r="Q87" s="302"/>
      <c r="R87" s="302"/>
      <c r="S87" s="302"/>
      <c r="T87" s="302"/>
      <c r="U87" s="302"/>
      <c r="V87" s="302"/>
      <c r="W87" s="302"/>
      <c r="X87" s="302"/>
      <c r="Y87" s="302"/>
      <c r="Z87" s="107"/>
      <c r="AA87" s="107"/>
      <c r="AB87" s="107"/>
      <c r="AC87" s="237"/>
      <c r="AD87" s="146"/>
      <c r="AE87" s="146"/>
      <c r="AF87" s="146"/>
      <c r="AG87" s="146"/>
      <c r="AH87" s="146"/>
      <c r="AI87" s="146"/>
      <c r="AJ87" s="146"/>
      <c r="AK87" s="146"/>
      <c r="AL87" s="146"/>
      <c r="AM87" s="146"/>
      <c r="AN87" s="146"/>
      <c r="AO87" s="146"/>
      <c r="AP87" s="146"/>
      <c r="AQ87" s="146"/>
      <c r="AR87" s="146"/>
      <c r="AS87" s="146"/>
      <c r="AT87" s="146"/>
      <c r="AU87" s="146"/>
      <c r="AV87" s="146"/>
      <c r="AW87" s="146"/>
      <c r="AX87" s="146"/>
      <c r="AY87" s="146"/>
      <c r="AZ87" s="146"/>
      <c r="BA87" s="146"/>
      <c r="BB87" s="146"/>
      <c r="BC87" s="146"/>
    </row>
    <row r="88" spans="1:55" s="147" customFormat="1" ht="25" customHeight="1" x14ac:dyDescent="0.35">
      <c r="A88" s="127" t="s">
        <v>72</v>
      </c>
      <c r="B88" s="127">
        <f>AVERAGE(C88:H88)</f>
        <v>6.3144309675957147E-2</v>
      </c>
      <c r="C88" s="126">
        <f>C87/B87-1</f>
        <v>-6.8918600445583289E-3</v>
      </c>
      <c r="D88" s="126">
        <f t="shared" ref="D88" si="131">D87/C87-1</f>
        <v>0.11265273660142339</v>
      </c>
      <c r="E88" s="126">
        <f>E87/D87-1</f>
        <v>0.28048891787342378</v>
      </c>
      <c r="F88" s="126">
        <f t="shared" ref="F88:G88" si="132">F87/E87-1</f>
        <v>0.35279107561025946</v>
      </c>
      <c r="G88" s="126">
        <f t="shared" si="132"/>
        <v>-0.24112065998425691</v>
      </c>
      <c r="H88" s="126">
        <f>H87/G87-1</f>
        <v>-0.11905435200054848</v>
      </c>
      <c r="I88" s="127">
        <f>-B88</f>
        <v>-6.3144309675957147E-2</v>
      </c>
      <c r="J88" s="127">
        <f>-B88</f>
        <v>-6.3144309675957147E-2</v>
      </c>
      <c r="K88" s="127">
        <f>J88</f>
        <v>-6.3144309675957147E-2</v>
      </c>
      <c r="L88" s="127">
        <f>-K88</f>
        <v>6.3144309675957147E-2</v>
      </c>
      <c r="M88" s="127">
        <f t="shared" ref="M88:O88" si="133">L88</f>
        <v>6.3144309675957147E-2</v>
      </c>
      <c r="N88" s="127">
        <f t="shared" si="133"/>
        <v>6.3144309675957147E-2</v>
      </c>
      <c r="O88" s="127">
        <f t="shared" si="133"/>
        <v>6.3144309675957147E-2</v>
      </c>
      <c r="P88" s="300"/>
      <c r="Q88" s="300"/>
      <c r="R88" s="300"/>
      <c r="S88" s="300"/>
      <c r="T88" s="300"/>
      <c r="U88" s="300"/>
      <c r="V88" s="300"/>
      <c r="W88" s="300"/>
      <c r="X88" s="300"/>
      <c r="Y88" s="300"/>
      <c r="Z88" s="107"/>
      <c r="AA88" s="107"/>
      <c r="AB88" s="107"/>
      <c r="AC88" s="237"/>
      <c r="AD88" s="146"/>
      <c r="AE88" s="146"/>
      <c r="AF88" s="146"/>
      <c r="AG88" s="146"/>
      <c r="AH88" s="146"/>
      <c r="AI88" s="146"/>
      <c r="AJ88" s="146"/>
      <c r="AK88" s="146"/>
      <c r="AL88" s="146"/>
      <c r="AM88" s="146"/>
      <c r="AN88" s="146"/>
      <c r="AO88" s="146"/>
      <c r="AP88" s="146"/>
      <c r="AQ88" s="146"/>
      <c r="AR88" s="146"/>
      <c r="AS88" s="146"/>
      <c r="AT88" s="146"/>
      <c r="AU88" s="146"/>
      <c r="AV88" s="146"/>
      <c r="AW88" s="146"/>
      <c r="AX88" s="146"/>
      <c r="AY88" s="146"/>
      <c r="AZ88" s="146"/>
      <c r="BA88" s="146"/>
      <c r="BB88" s="146"/>
      <c r="BC88" s="146"/>
    </row>
    <row r="89" spans="1:55" s="147" customFormat="1" ht="25" customHeight="1" x14ac:dyDescent="0.35">
      <c r="A89" s="124" t="s">
        <v>66</v>
      </c>
      <c r="B89" s="124">
        <f>B79</f>
        <v>0.12253531746031747</v>
      </c>
      <c r="C89" s="124">
        <f t="shared" ref="C89:H89" si="134">C79</f>
        <v>0.12333888888888893</v>
      </c>
      <c r="D89" s="124">
        <f t="shared" si="134"/>
        <v>0.12819525691699604</v>
      </c>
      <c r="E89" s="124">
        <f t="shared" si="134"/>
        <v>0.17712196078431353</v>
      </c>
      <c r="F89" s="124">
        <f t="shared" si="134"/>
        <v>0.18729883720930229</v>
      </c>
      <c r="G89" s="124">
        <f t="shared" si="134"/>
        <v>0.23972490272373539</v>
      </c>
      <c r="H89" s="124">
        <f t="shared" si="134"/>
        <v>0.20599780219780214</v>
      </c>
      <c r="I89" s="124">
        <f>H89*(1+I90)</f>
        <v>0.20172898483026</v>
      </c>
      <c r="J89" s="124">
        <f t="shared" ref="J89:O89" si="135">I89*(1+J90)</f>
        <v>0.20590934105150344</v>
      </c>
      <c r="K89" s="124">
        <f t="shared" si="135"/>
        <v>0.20164235683205145</v>
      </c>
      <c r="L89" s="124">
        <f t="shared" si="135"/>
        <v>0.19746379577123846</v>
      </c>
      <c r="M89" s="124">
        <f t="shared" si="135"/>
        <v>0.19337182550817877</v>
      </c>
      <c r="N89" s="124">
        <f t="shared" si="135"/>
        <v>0.18936465165333341</v>
      </c>
      <c r="O89" s="124">
        <f t="shared" si="135"/>
        <v>0.18544051700164371</v>
      </c>
      <c r="P89" s="303"/>
      <c r="Q89" s="303"/>
      <c r="R89" s="303"/>
      <c r="S89" s="303"/>
      <c r="T89" s="303"/>
      <c r="U89" s="303"/>
      <c r="V89" s="303"/>
      <c r="W89" s="303"/>
      <c r="X89" s="303"/>
      <c r="Y89" s="303"/>
      <c r="Z89" s="107"/>
      <c r="AA89" s="107"/>
      <c r="AB89" s="107"/>
      <c r="AC89" s="237"/>
      <c r="AD89" s="146"/>
      <c r="AE89" s="146"/>
      <c r="AF89" s="146"/>
      <c r="AG89" s="146"/>
      <c r="AH89" s="146"/>
      <c r="AI89" s="146"/>
      <c r="AJ89" s="146"/>
      <c r="AK89" s="146"/>
      <c r="AL89" s="146"/>
      <c r="AM89" s="146"/>
      <c r="AN89" s="146"/>
      <c r="AO89" s="146"/>
      <c r="AP89" s="146"/>
      <c r="AQ89" s="146"/>
      <c r="AR89" s="146"/>
      <c r="AS89" s="146"/>
      <c r="AT89" s="146"/>
      <c r="AU89" s="146"/>
      <c r="AV89" s="146"/>
      <c r="AW89" s="146"/>
      <c r="AX89" s="146"/>
      <c r="AY89" s="146"/>
      <c r="AZ89" s="146"/>
      <c r="BA89" s="146"/>
      <c r="BB89" s="146"/>
      <c r="BC89" s="146"/>
    </row>
    <row r="90" spans="1:55" ht="25" customHeight="1" x14ac:dyDescent="0.35">
      <c r="A90" s="124" t="s">
        <v>74</v>
      </c>
      <c r="B90" s="127">
        <f>B80</f>
        <v>-2.0722635494155206E-2</v>
      </c>
      <c r="C90" s="126">
        <f>C89/B89-1</f>
        <v>6.5578760901459088E-3</v>
      </c>
      <c r="D90" s="126">
        <f t="shared" ref="D90" si="136">D89/C89-1</f>
        <v>3.9374183372788529E-2</v>
      </c>
      <c r="E90" s="126">
        <f>E89/D89-1</f>
        <v>0.38165767629762293</v>
      </c>
      <c r="F90" s="126">
        <f t="shared" ref="F90:G90" si="137">F89/E89-1</f>
        <v>5.7456886655525619E-2</v>
      </c>
      <c r="G90" s="126">
        <f t="shared" si="137"/>
        <v>0.27990598497869024</v>
      </c>
      <c r="H90" s="126">
        <f>H89/G89-1</f>
        <v>-0.14069085081578347</v>
      </c>
      <c r="I90" s="127">
        <f>B90</f>
        <v>-2.0722635494155206E-2</v>
      </c>
      <c r="J90" s="126">
        <f>-I90</f>
        <v>2.0722635494155206E-2</v>
      </c>
      <c r="K90" s="126">
        <f>-J90</f>
        <v>-2.0722635494155206E-2</v>
      </c>
      <c r="L90" s="126">
        <f t="shared" ref="L90:O90" si="138">K90</f>
        <v>-2.0722635494155206E-2</v>
      </c>
      <c r="M90" s="126">
        <f t="shared" si="138"/>
        <v>-2.0722635494155206E-2</v>
      </c>
      <c r="N90" s="126">
        <f t="shared" si="138"/>
        <v>-2.0722635494155206E-2</v>
      </c>
      <c r="O90" s="126">
        <f t="shared" si="138"/>
        <v>-2.0722635494155206E-2</v>
      </c>
      <c r="P90" s="299"/>
      <c r="Q90" s="299"/>
      <c r="R90" s="299"/>
      <c r="S90" s="299"/>
      <c r="T90" s="299"/>
      <c r="U90" s="299"/>
      <c r="V90" s="299"/>
      <c r="W90" s="299"/>
      <c r="X90" s="299"/>
      <c r="Y90" s="299"/>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row>
    <row r="91" spans="1:55" ht="25" customHeight="1" x14ac:dyDescent="0.35">
      <c r="A91" s="124" t="s">
        <v>77</v>
      </c>
      <c r="B91" s="124">
        <f>B71</f>
        <v>14262</v>
      </c>
      <c r="C91" s="124">
        <f t="shared" ref="C91:H91" si="139">C71</f>
        <v>18116</v>
      </c>
      <c r="D91" s="124">
        <f t="shared" si="139"/>
        <v>17708</v>
      </c>
      <c r="E91" s="124">
        <f t="shared" si="139"/>
        <v>18705</v>
      </c>
      <c r="F91" s="124">
        <f t="shared" si="139"/>
        <v>20292</v>
      </c>
      <c r="G91" s="124">
        <f t="shared" si="139"/>
        <v>15169</v>
      </c>
      <c r="H91" s="124">
        <f t="shared" si="139"/>
        <v>22423</v>
      </c>
      <c r="I91" s="124">
        <f>H91*(1+I92)</f>
        <v>22983.574999999997</v>
      </c>
      <c r="J91" s="124">
        <f t="shared" ref="J91:O91" si="140">I91*(1+J92)</f>
        <v>23558.164374999997</v>
      </c>
      <c r="K91" s="124">
        <f t="shared" si="140"/>
        <v>24147.118484374994</v>
      </c>
      <c r="L91" s="124">
        <f t="shared" si="140"/>
        <v>24750.796446484368</v>
      </c>
      <c r="M91" s="124">
        <f t="shared" si="140"/>
        <v>25369.566357646476</v>
      </c>
      <c r="N91" s="124">
        <f t="shared" si="140"/>
        <v>26003.805516587636</v>
      </c>
      <c r="O91" s="124">
        <f t="shared" si="140"/>
        <v>26653.900654502326</v>
      </c>
      <c r="P91" s="303"/>
      <c r="Q91" s="303"/>
      <c r="R91" s="303"/>
      <c r="S91" s="303"/>
      <c r="T91" s="303"/>
      <c r="U91" s="303"/>
      <c r="V91" s="303"/>
      <c r="W91" s="303"/>
      <c r="X91" s="303"/>
      <c r="Y91" s="303"/>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row>
    <row r="92" spans="1:55" ht="25" customHeight="1" x14ac:dyDescent="0.35">
      <c r="A92" s="124" t="s">
        <v>79</v>
      </c>
      <c r="B92" s="127">
        <f>$AE$75</f>
        <v>2.5000000000000001E-2</v>
      </c>
      <c r="C92" s="126">
        <f>C91/B91-1</f>
        <v>0.27022857944187351</v>
      </c>
      <c r="D92" s="126">
        <f t="shared" ref="D92" si="141">D91/C91-1</f>
        <v>-2.2521527931110619E-2</v>
      </c>
      <c r="E92" s="126">
        <f>E91/D91-1</f>
        <v>5.630223627738884E-2</v>
      </c>
      <c r="F92" s="126">
        <f t="shared" ref="F92:G92" si="142">F91/E91-1</f>
        <v>8.4843624699278308E-2</v>
      </c>
      <c r="G92" s="126">
        <f t="shared" si="142"/>
        <v>-0.25246402523161837</v>
      </c>
      <c r="H92" s="126">
        <f>H91/G91-1</f>
        <v>0.47821214318676253</v>
      </c>
      <c r="I92" s="127">
        <f>B92</f>
        <v>2.5000000000000001E-2</v>
      </c>
      <c r="J92" s="126">
        <f>I92</f>
        <v>2.5000000000000001E-2</v>
      </c>
      <c r="K92" s="126">
        <f t="shared" ref="K92:O92" si="143">J92</f>
        <v>2.5000000000000001E-2</v>
      </c>
      <c r="L92" s="126">
        <f t="shared" si="143"/>
        <v>2.5000000000000001E-2</v>
      </c>
      <c r="M92" s="126">
        <f t="shared" si="143"/>
        <v>2.5000000000000001E-2</v>
      </c>
      <c r="N92" s="126">
        <f t="shared" si="143"/>
        <v>2.5000000000000001E-2</v>
      </c>
      <c r="O92" s="126">
        <f t="shared" si="143"/>
        <v>2.5000000000000001E-2</v>
      </c>
      <c r="P92" s="299"/>
      <c r="Q92" s="299"/>
      <c r="R92" s="299"/>
      <c r="S92" s="299"/>
      <c r="T92" s="299"/>
      <c r="U92" s="299"/>
      <c r="V92" s="299"/>
      <c r="W92" s="299"/>
      <c r="X92" s="299"/>
      <c r="Y92" s="299"/>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row>
    <row r="93" spans="1:55" ht="24.75" customHeight="1" x14ac:dyDescent="0.35">
      <c r="A93" s="373" t="s">
        <v>2</v>
      </c>
      <c r="B93" s="374"/>
      <c r="C93" s="374"/>
      <c r="D93" s="374"/>
      <c r="E93" s="374"/>
      <c r="F93" s="374"/>
      <c r="G93" s="374"/>
      <c r="H93" s="374"/>
      <c r="I93" s="374"/>
      <c r="J93" s="374"/>
      <c r="K93" s="374"/>
      <c r="L93" s="374"/>
      <c r="M93" s="374"/>
      <c r="N93" s="374"/>
      <c r="O93" s="375"/>
      <c r="P93" s="297"/>
      <c r="Q93" s="297"/>
      <c r="R93" s="297"/>
      <c r="S93" s="297"/>
      <c r="T93" s="297"/>
      <c r="U93" s="297"/>
      <c r="V93" s="297"/>
      <c r="W93" s="297"/>
      <c r="X93" s="297"/>
      <c r="Y93" s="29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row>
    <row r="94" spans="1:55" ht="25" customHeight="1" x14ac:dyDescent="0.35">
      <c r="A94" s="120" t="s">
        <v>69</v>
      </c>
      <c r="B94" s="120"/>
      <c r="C94" s="120"/>
      <c r="D94" s="120"/>
      <c r="E94" s="120"/>
      <c r="F94" s="120"/>
      <c r="G94" s="120"/>
      <c r="H94" s="120"/>
      <c r="I94" s="121">
        <f t="shared" ref="I94:O94" si="144">I95*I21</f>
        <v>0</v>
      </c>
      <c r="J94" s="121" t="e">
        <f t="shared" si="144"/>
        <v>#DIV/0!</v>
      </c>
      <c r="K94" s="121" t="e">
        <f t="shared" si="144"/>
        <v>#DIV/0!</v>
      </c>
      <c r="L94" s="121" t="e">
        <f t="shared" si="144"/>
        <v>#DIV/0!</v>
      </c>
      <c r="M94" s="121" t="e">
        <f t="shared" si="144"/>
        <v>#DIV/0!</v>
      </c>
      <c r="N94" s="121" t="e">
        <f t="shared" si="144"/>
        <v>#DIV/0!</v>
      </c>
      <c r="O94" s="121" t="e">
        <f t="shared" si="144"/>
        <v>#DIV/0!</v>
      </c>
      <c r="P94" s="301"/>
      <c r="Q94" s="301"/>
      <c r="R94" s="301"/>
      <c r="S94" s="301"/>
      <c r="T94" s="301"/>
      <c r="U94" s="301"/>
      <c r="V94" s="301"/>
      <c r="W94" s="301"/>
      <c r="X94" s="301"/>
      <c r="Y94" s="301"/>
      <c r="Z94" s="107"/>
      <c r="AA94" s="107"/>
      <c r="AB94" s="107"/>
      <c r="AC94" s="107"/>
      <c r="AD94" s="106" t="e">
        <f>O217/N217-1</f>
        <v>#DIV/0!</v>
      </c>
      <c r="AE94" s="106" t="e">
        <f>Z89/O217-1</f>
        <v>#DIV/0!</v>
      </c>
      <c r="AF94" s="106" t="e">
        <f>AA89/Z89-1</f>
        <v>#DIV/0!</v>
      </c>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row>
    <row r="95" spans="1:55" ht="25" customHeight="1" x14ac:dyDescent="0.35">
      <c r="A95" s="120" t="s">
        <v>13</v>
      </c>
      <c r="B95" s="120"/>
      <c r="C95" s="120"/>
      <c r="D95" s="120"/>
      <c r="E95" s="120"/>
      <c r="F95" s="120"/>
      <c r="G95" s="120"/>
      <c r="H95" s="121"/>
      <c r="I95" s="290">
        <f>'PHP Requirement'!C26</f>
        <v>0</v>
      </c>
      <c r="J95" s="275" t="e">
        <f>I95*(1+J96)</f>
        <v>#DIV/0!</v>
      </c>
      <c r="K95" s="275" t="e">
        <f t="shared" ref="K95:O95" si="145">J95*(1+K96)</f>
        <v>#DIV/0!</v>
      </c>
      <c r="L95" s="275" t="e">
        <f t="shared" si="145"/>
        <v>#DIV/0!</v>
      </c>
      <c r="M95" s="275" t="e">
        <f t="shared" si="145"/>
        <v>#DIV/0!</v>
      </c>
      <c r="N95" s="275" t="e">
        <f t="shared" si="145"/>
        <v>#DIV/0!</v>
      </c>
      <c r="O95" s="275" t="e">
        <f t="shared" si="145"/>
        <v>#DIV/0!</v>
      </c>
      <c r="P95" s="298"/>
      <c r="Q95" s="298"/>
      <c r="R95" s="298"/>
      <c r="S95" s="298"/>
      <c r="T95" s="298"/>
      <c r="U95" s="298"/>
      <c r="V95" s="298"/>
      <c r="W95" s="298"/>
      <c r="X95" s="298"/>
      <c r="Y95" s="298"/>
      <c r="Z95" s="107"/>
      <c r="AA95" s="107"/>
      <c r="AB95" s="107"/>
      <c r="AC95" s="107"/>
      <c r="AD95" s="107" t="e">
        <f>SUM(AB94:AF94)/5</f>
        <v>#DIV/0!</v>
      </c>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row>
    <row r="96" spans="1:55" ht="25" customHeight="1" x14ac:dyDescent="0.35">
      <c r="A96" s="124" t="s">
        <v>31</v>
      </c>
      <c r="B96" s="120"/>
      <c r="C96" s="120"/>
      <c r="D96" s="120"/>
      <c r="E96" s="120"/>
      <c r="F96" s="120"/>
      <c r="G96" s="120"/>
      <c r="H96" s="125">
        <v>15440.3</v>
      </c>
      <c r="I96" s="126" t="e">
        <f>(1+I98)*(1+I100)-1</f>
        <v>#DIV/0!</v>
      </c>
      <c r="J96" s="126" t="e">
        <f t="shared" ref="J96:O96" si="146">(1+J98)*(1+J100)-1</f>
        <v>#DIV/0!</v>
      </c>
      <c r="K96" s="126" t="e">
        <f t="shared" si="146"/>
        <v>#DIV/0!</v>
      </c>
      <c r="L96" s="126" t="e">
        <f t="shared" si="146"/>
        <v>#DIV/0!</v>
      </c>
      <c r="M96" s="126" t="e">
        <f t="shared" si="146"/>
        <v>#DIV/0!</v>
      </c>
      <c r="N96" s="126" t="e">
        <f t="shared" si="146"/>
        <v>#DIV/0!</v>
      </c>
      <c r="O96" s="126" t="e">
        <f t="shared" si="146"/>
        <v>#DIV/0!</v>
      </c>
      <c r="P96" s="299"/>
      <c r="Q96" s="299"/>
      <c r="R96" s="299"/>
      <c r="S96" s="299"/>
      <c r="T96" s="299"/>
      <c r="U96" s="299"/>
      <c r="V96" s="299"/>
      <c r="W96" s="299"/>
      <c r="X96" s="299"/>
      <c r="Y96" s="299"/>
      <c r="Z96" s="242"/>
      <c r="AA96" s="242"/>
      <c r="AB96" s="107"/>
      <c r="AC96" s="107"/>
      <c r="AD96" s="107"/>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row>
    <row r="97" spans="1:55" ht="25" customHeight="1" x14ac:dyDescent="0.35">
      <c r="A97" s="124" t="s">
        <v>71</v>
      </c>
      <c r="B97" s="274">
        <f>'Wheat price'!C29</f>
        <v>0</v>
      </c>
      <c r="C97" s="274">
        <f>'Wheat price'!D29</f>
        <v>0</v>
      </c>
      <c r="D97" s="274">
        <f>'Wheat price'!E29</f>
        <v>0</v>
      </c>
      <c r="E97" s="274">
        <f>'Wheat price'!F29</f>
        <v>0</v>
      </c>
      <c r="F97" s="274">
        <f>'Wheat price'!G29</f>
        <v>0</v>
      </c>
      <c r="G97" s="274">
        <f>'Wheat price'!H29</f>
        <v>0</v>
      </c>
      <c r="H97" s="274">
        <f>'Wheat price'!I29</f>
        <v>0</v>
      </c>
      <c r="I97" s="289" t="e">
        <f>H97*(1+I98)</f>
        <v>#DIV/0!</v>
      </c>
      <c r="J97" s="289" t="e">
        <f t="shared" ref="J97:O97" si="147">I97*(1+J98)</f>
        <v>#DIV/0!</v>
      </c>
      <c r="K97" s="289" t="e">
        <f t="shared" si="147"/>
        <v>#DIV/0!</v>
      </c>
      <c r="L97" s="289" t="e">
        <f t="shared" si="147"/>
        <v>#DIV/0!</v>
      </c>
      <c r="M97" s="289" t="e">
        <f t="shared" si="147"/>
        <v>#DIV/0!</v>
      </c>
      <c r="N97" s="289" t="e">
        <f t="shared" si="147"/>
        <v>#DIV/0!</v>
      </c>
      <c r="O97" s="289" t="e">
        <f t="shared" si="147"/>
        <v>#DIV/0!</v>
      </c>
      <c r="P97" s="302"/>
      <c r="Q97" s="302"/>
      <c r="R97" s="302"/>
      <c r="S97" s="302"/>
      <c r="T97" s="302"/>
      <c r="U97" s="302"/>
      <c r="V97" s="302"/>
      <c r="W97" s="302"/>
      <c r="X97" s="302"/>
      <c r="Y97" s="302"/>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row>
    <row r="98" spans="1:55" ht="25" customHeight="1" x14ac:dyDescent="0.35">
      <c r="A98" s="127" t="s">
        <v>72</v>
      </c>
      <c r="B98" s="127" t="e">
        <f>AVERAGE(C98:H98)</f>
        <v>#DIV/0!</v>
      </c>
      <c r="C98" s="126" t="e">
        <f>C97/B97-1</f>
        <v>#DIV/0!</v>
      </c>
      <c r="D98" s="126" t="e">
        <f t="shared" ref="D98" si="148">D97/C97-1</f>
        <v>#DIV/0!</v>
      </c>
      <c r="E98" s="126" t="e">
        <f>E97/D97-1</f>
        <v>#DIV/0!</v>
      </c>
      <c r="F98" s="126" t="e">
        <f t="shared" ref="F98:G98" si="149">F97/E97-1</f>
        <v>#DIV/0!</v>
      </c>
      <c r="G98" s="126" t="e">
        <f t="shared" si="149"/>
        <v>#DIV/0!</v>
      </c>
      <c r="H98" s="126" t="e">
        <f>H97/G97-1</f>
        <v>#DIV/0!</v>
      </c>
      <c r="I98" s="127" t="e">
        <f>-B98</f>
        <v>#DIV/0!</v>
      </c>
      <c r="J98" s="127" t="e">
        <f>I98*(1+$H$8)</f>
        <v>#DIV/0!</v>
      </c>
      <c r="K98" s="127" t="e">
        <f>B98</f>
        <v>#DIV/0!</v>
      </c>
      <c r="L98" s="127" t="e">
        <f>K98</f>
        <v>#DIV/0!</v>
      </c>
      <c r="M98" s="127" t="e">
        <f t="shared" ref="M98:O98" si="150">L98</f>
        <v>#DIV/0!</v>
      </c>
      <c r="N98" s="127" t="e">
        <f t="shared" si="150"/>
        <v>#DIV/0!</v>
      </c>
      <c r="O98" s="127" t="e">
        <f t="shared" si="150"/>
        <v>#DIV/0!</v>
      </c>
      <c r="P98" s="300"/>
      <c r="Q98" s="300"/>
      <c r="R98" s="300"/>
      <c r="S98" s="300"/>
      <c r="T98" s="300"/>
      <c r="U98" s="300"/>
      <c r="V98" s="300"/>
      <c r="W98" s="300"/>
      <c r="X98" s="300"/>
      <c r="Y98" s="300"/>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row>
    <row r="99" spans="1:55" ht="25" customHeight="1" x14ac:dyDescent="0.35">
      <c r="A99" s="124" t="s">
        <v>66</v>
      </c>
      <c r="B99" s="124">
        <f>'Sugar price'!C29</f>
        <v>0</v>
      </c>
      <c r="C99" s="124">
        <f>'Sugar price'!D29</f>
        <v>0</v>
      </c>
      <c r="D99" s="124">
        <f>'Sugar price'!E29</f>
        <v>0</v>
      </c>
      <c r="E99" s="124">
        <f>'Sugar price'!F29</f>
        <v>0</v>
      </c>
      <c r="F99" s="124">
        <f>'Sugar price'!G29</f>
        <v>0</v>
      </c>
      <c r="G99" s="124">
        <f>'Sugar price'!H29</f>
        <v>0.21629999999999999</v>
      </c>
      <c r="H99" s="124">
        <f>'Sugar price'!I29</f>
        <v>0</v>
      </c>
      <c r="I99" s="124">
        <f>H99*(1+I100)</f>
        <v>0</v>
      </c>
      <c r="J99" s="124">
        <f t="shared" ref="J99:O99" si="151">I99*(1+J100)</f>
        <v>0</v>
      </c>
      <c r="K99" s="124">
        <f t="shared" si="151"/>
        <v>0</v>
      </c>
      <c r="L99" s="124">
        <f t="shared" si="151"/>
        <v>0</v>
      </c>
      <c r="M99" s="124">
        <f t="shared" si="151"/>
        <v>0</v>
      </c>
      <c r="N99" s="124">
        <f t="shared" si="151"/>
        <v>0</v>
      </c>
      <c r="O99" s="124">
        <f t="shared" si="151"/>
        <v>0</v>
      </c>
      <c r="P99" s="303"/>
      <c r="Q99" s="303"/>
      <c r="R99" s="303"/>
      <c r="S99" s="303"/>
      <c r="T99" s="303"/>
      <c r="U99" s="303"/>
      <c r="V99" s="303"/>
      <c r="W99" s="303"/>
      <c r="X99" s="303"/>
      <c r="Y99" s="303"/>
      <c r="Z99" s="242"/>
      <c r="AA99" s="242"/>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row>
    <row r="100" spans="1:55" ht="25" customHeight="1" x14ac:dyDescent="0.35">
      <c r="A100" s="124" t="s">
        <v>74</v>
      </c>
      <c r="B100" s="127">
        <f>'Sugar price'!I216</f>
        <v>0</v>
      </c>
      <c r="C100" s="126" t="e">
        <f>C99/B99-1</f>
        <v>#DIV/0!</v>
      </c>
      <c r="D100" s="126" t="e">
        <f t="shared" ref="D100" si="152">D99/C99-1</f>
        <v>#DIV/0!</v>
      </c>
      <c r="E100" s="126" t="e">
        <f>E99/D99-1</f>
        <v>#DIV/0!</v>
      </c>
      <c r="F100" s="126" t="e">
        <f t="shared" ref="F100:G100" si="153">F99/E99-1</f>
        <v>#DIV/0!</v>
      </c>
      <c r="G100" s="126" t="e">
        <f t="shared" si="153"/>
        <v>#DIV/0!</v>
      </c>
      <c r="H100" s="126">
        <f>H99/G99-1</f>
        <v>-1</v>
      </c>
      <c r="I100" s="127">
        <f>B100</f>
        <v>0</v>
      </c>
      <c r="J100" s="126">
        <f>I100</f>
        <v>0</v>
      </c>
      <c r="K100" s="126">
        <f t="shared" ref="K100:O100" si="154">J100</f>
        <v>0</v>
      </c>
      <c r="L100" s="126">
        <f t="shared" si="154"/>
        <v>0</v>
      </c>
      <c r="M100" s="126">
        <f t="shared" si="154"/>
        <v>0</v>
      </c>
      <c r="N100" s="126">
        <f t="shared" si="154"/>
        <v>0</v>
      </c>
      <c r="O100" s="126">
        <f t="shared" si="154"/>
        <v>0</v>
      </c>
      <c r="P100" s="299"/>
      <c r="Q100" s="299"/>
      <c r="R100" s="299"/>
      <c r="S100" s="299"/>
      <c r="T100" s="299"/>
      <c r="U100" s="299"/>
      <c r="V100" s="299"/>
      <c r="W100" s="299"/>
      <c r="X100" s="299"/>
      <c r="Y100" s="299"/>
      <c r="Z100" s="107"/>
      <c r="AA100" s="107"/>
      <c r="AB100" s="107"/>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row>
    <row r="101" spans="1:55" ht="25" customHeight="1" x14ac:dyDescent="0.35">
      <c r="A101" s="373" t="s">
        <v>80</v>
      </c>
      <c r="B101" s="374"/>
      <c r="C101" s="374"/>
      <c r="D101" s="374"/>
      <c r="E101" s="374"/>
      <c r="F101" s="374"/>
      <c r="G101" s="374"/>
      <c r="H101" s="374"/>
      <c r="I101" s="374"/>
      <c r="J101" s="374"/>
      <c r="K101" s="374"/>
      <c r="L101" s="374"/>
      <c r="M101" s="374"/>
      <c r="N101" s="374"/>
      <c r="O101" s="375"/>
      <c r="P101" s="297"/>
      <c r="Q101" s="297"/>
      <c r="R101" s="297"/>
      <c r="S101" s="297"/>
      <c r="T101" s="297"/>
      <c r="U101" s="297"/>
      <c r="V101" s="297"/>
      <c r="W101" s="297"/>
      <c r="X101" s="297"/>
      <c r="Y101" s="297"/>
      <c r="Z101" s="107"/>
      <c r="AA101" s="107"/>
      <c r="AB101" s="107"/>
      <c r="AC101" s="107"/>
      <c r="AD101" s="107"/>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row>
    <row r="102" spans="1:55" ht="25" customHeight="1" x14ac:dyDescent="0.35">
      <c r="A102" s="120" t="s">
        <v>69</v>
      </c>
      <c r="B102" s="120"/>
      <c r="C102" s="120"/>
      <c r="D102" s="120"/>
      <c r="E102" s="120"/>
      <c r="F102" s="120"/>
      <c r="G102" s="120"/>
      <c r="H102" s="120"/>
      <c r="I102" s="121">
        <f t="shared" ref="I102:O102" si="155">I103*I33</f>
        <v>0</v>
      </c>
      <c r="J102" s="121" t="e">
        <f t="shared" si="155"/>
        <v>#DIV/0!</v>
      </c>
      <c r="K102" s="121" t="e">
        <f t="shared" si="155"/>
        <v>#DIV/0!</v>
      </c>
      <c r="L102" s="121" t="e">
        <f t="shared" si="155"/>
        <v>#DIV/0!</v>
      </c>
      <c r="M102" s="121" t="e">
        <f t="shared" si="155"/>
        <v>#DIV/0!</v>
      </c>
      <c r="N102" s="121" t="e">
        <f t="shared" si="155"/>
        <v>#DIV/0!</v>
      </c>
      <c r="O102" s="121" t="e">
        <f t="shared" si="155"/>
        <v>#DIV/0!</v>
      </c>
      <c r="P102" s="301"/>
      <c r="Q102" s="301"/>
      <c r="R102" s="301"/>
      <c r="S102" s="301"/>
      <c r="T102" s="301"/>
      <c r="U102" s="301"/>
      <c r="V102" s="301"/>
      <c r="W102" s="301"/>
      <c r="X102" s="301"/>
      <c r="Y102" s="301"/>
      <c r="Z102" s="107"/>
      <c r="AA102" s="107"/>
      <c r="AB102" s="107"/>
      <c r="AC102" s="107"/>
      <c r="AD102" s="107"/>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row>
    <row r="103" spans="1:55" ht="25" customHeight="1" x14ac:dyDescent="0.35">
      <c r="A103" s="120" t="s">
        <v>81</v>
      </c>
      <c r="B103" s="120"/>
      <c r="C103" s="120"/>
      <c r="D103" s="120"/>
      <c r="E103" s="120"/>
      <c r="F103" s="120"/>
      <c r="G103" s="120"/>
      <c r="H103" s="121"/>
      <c r="I103" s="290">
        <f>'PHP Requirement'!E26</f>
        <v>0</v>
      </c>
      <c r="J103" s="275" t="e">
        <f>I103*(1+J104)</f>
        <v>#DIV/0!</v>
      </c>
      <c r="K103" s="275" t="e">
        <f t="shared" ref="K103:O103" si="156">J103*(1+K104)</f>
        <v>#DIV/0!</v>
      </c>
      <c r="L103" s="275" t="e">
        <f t="shared" si="156"/>
        <v>#DIV/0!</v>
      </c>
      <c r="M103" s="275" t="e">
        <f t="shared" si="156"/>
        <v>#DIV/0!</v>
      </c>
      <c r="N103" s="275" t="e">
        <f t="shared" si="156"/>
        <v>#DIV/0!</v>
      </c>
      <c r="O103" s="275" t="e">
        <f t="shared" si="156"/>
        <v>#DIV/0!</v>
      </c>
      <c r="P103" s="298"/>
      <c r="Q103" s="298"/>
      <c r="R103" s="298"/>
      <c r="S103" s="298"/>
      <c r="T103" s="298"/>
      <c r="U103" s="298"/>
      <c r="V103" s="298"/>
      <c r="W103" s="298"/>
      <c r="X103" s="298"/>
      <c r="Y103" s="298"/>
      <c r="Z103" s="107"/>
      <c r="AA103" s="107"/>
      <c r="AB103" s="107"/>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row>
    <row r="104" spans="1:55" ht="25" customHeight="1" x14ac:dyDescent="0.35">
      <c r="A104" s="124" t="s">
        <v>31</v>
      </c>
      <c r="B104" s="120"/>
      <c r="C104" s="120"/>
      <c r="D104" s="120"/>
      <c r="E104" s="120"/>
      <c r="F104" s="120"/>
      <c r="G104" s="120"/>
      <c r="H104" s="125">
        <v>15440.3</v>
      </c>
      <c r="I104" s="291" t="e">
        <f>(1+I106)*(1+I108)-1</f>
        <v>#DIV/0!</v>
      </c>
      <c r="J104" s="126" t="e">
        <f t="shared" ref="J104:O104" si="157">(1+J106)*(1+J108)-1</f>
        <v>#DIV/0!</v>
      </c>
      <c r="K104" s="126" t="e">
        <f t="shared" si="157"/>
        <v>#DIV/0!</v>
      </c>
      <c r="L104" s="126" t="e">
        <f t="shared" si="157"/>
        <v>#DIV/0!</v>
      </c>
      <c r="M104" s="126" t="e">
        <f t="shared" si="157"/>
        <v>#DIV/0!</v>
      </c>
      <c r="N104" s="126" t="e">
        <f t="shared" si="157"/>
        <v>#DIV/0!</v>
      </c>
      <c r="O104" s="126" t="e">
        <f t="shared" si="157"/>
        <v>#DIV/0!</v>
      </c>
      <c r="P104" s="299"/>
      <c r="Q104" s="299"/>
      <c r="R104" s="299"/>
      <c r="S104" s="299"/>
      <c r="T104" s="299"/>
      <c r="U104" s="299"/>
      <c r="V104" s="299"/>
      <c r="W104" s="299"/>
      <c r="X104" s="299"/>
      <c r="Y104" s="299"/>
      <c r="Z104" s="107"/>
      <c r="AA104" s="107"/>
      <c r="AB104" s="107"/>
      <c r="AC104" s="107"/>
      <c r="AD104" s="107"/>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row>
    <row r="105" spans="1:55" ht="25" customHeight="1" x14ac:dyDescent="0.35">
      <c r="A105" s="124" t="s">
        <v>71</v>
      </c>
      <c r="B105" s="274">
        <f>B97</f>
        <v>0</v>
      </c>
      <c r="C105" s="274">
        <f t="shared" ref="C105:H105" si="158">C97</f>
        <v>0</v>
      </c>
      <c r="D105" s="274">
        <f t="shared" si="158"/>
        <v>0</v>
      </c>
      <c r="E105" s="274">
        <f t="shared" si="158"/>
        <v>0</v>
      </c>
      <c r="F105" s="274">
        <f t="shared" si="158"/>
        <v>0</v>
      </c>
      <c r="G105" s="274">
        <f t="shared" si="158"/>
        <v>0</v>
      </c>
      <c r="H105" s="274">
        <f t="shared" si="158"/>
        <v>0</v>
      </c>
      <c r="I105" s="289" t="e">
        <f>H105*(1+I106)</f>
        <v>#DIV/0!</v>
      </c>
      <c r="J105" s="289" t="e">
        <f t="shared" ref="J105:O105" si="159">I105*(1+J106)</f>
        <v>#DIV/0!</v>
      </c>
      <c r="K105" s="289" t="e">
        <f t="shared" si="159"/>
        <v>#DIV/0!</v>
      </c>
      <c r="L105" s="289" t="e">
        <f t="shared" si="159"/>
        <v>#DIV/0!</v>
      </c>
      <c r="M105" s="289" t="e">
        <f t="shared" si="159"/>
        <v>#DIV/0!</v>
      </c>
      <c r="N105" s="289" t="e">
        <f t="shared" si="159"/>
        <v>#DIV/0!</v>
      </c>
      <c r="O105" s="289" t="e">
        <f t="shared" si="159"/>
        <v>#DIV/0!</v>
      </c>
      <c r="P105" s="302"/>
      <c r="Q105" s="302"/>
      <c r="R105" s="302"/>
      <c r="S105" s="302"/>
      <c r="T105" s="302"/>
      <c r="U105" s="302"/>
      <c r="V105" s="302"/>
      <c r="W105" s="302"/>
      <c r="X105" s="302"/>
      <c r="Y105" s="302"/>
      <c r="Z105" s="107"/>
      <c r="AA105" s="107"/>
      <c r="AB105" s="107"/>
      <c r="AC105" s="107"/>
      <c r="AD105" s="106">
        <v>0.40699999999999997</v>
      </c>
      <c r="AE105" s="175">
        <v>0.41</v>
      </c>
      <c r="AF105" s="106">
        <v>0.41599999999999998</v>
      </c>
      <c r="AG105" s="106">
        <v>0.42199999999999999</v>
      </c>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row>
    <row r="106" spans="1:55" ht="25" customHeight="1" x14ac:dyDescent="0.35">
      <c r="A106" s="127" t="s">
        <v>72</v>
      </c>
      <c r="B106" s="127" t="e">
        <f>AVERAGE(C106:H106)</f>
        <v>#DIV/0!</v>
      </c>
      <c r="C106" s="126" t="e">
        <f>C105/B105-1</f>
        <v>#DIV/0!</v>
      </c>
      <c r="D106" s="126" t="e">
        <f t="shared" ref="D106" si="160">D105/C105-1</f>
        <v>#DIV/0!</v>
      </c>
      <c r="E106" s="126" t="e">
        <f>E105/D105-1</f>
        <v>#DIV/0!</v>
      </c>
      <c r="F106" s="126" t="e">
        <f t="shared" ref="F106:G106" si="161">F105/E105-1</f>
        <v>#DIV/0!</v>
      </c>
      <c r="G106" s="126" t="e">
        <f t="shared" si="161"/>
        <v>#DIV/0!</v>
      </c>
      <c r="H106" s="126" t="e">
        <f>H105/G105-1</f>
        <v>#DIV/0!</v>
      </c>
      <c r="I106" s="127" t="e">
        <f>-B106</f>
        <v>#DIV/0!</v>
      </c>
      <c r="J106" s="127" t="e">
        <f>I106*(1+$H$8)</f>
        <v>#DIV/0!</v>
      </c>
      <c r="K106" s="127" t="e">
        <f>B106</f>
        <v>#DIV/0!</v>
      </c>
      <c r="L106" s="127" t="e">
        <f>K106</f>
        <v>#DIV/0!</v>
      </c>
      <c r="M106" s="127" t="e">
        <f t="shared" ref="M106:O106" si="162">L106</f>
        <v>#DIV/0!</v>
      </c>
      <c r="N106" s="127" t="e">
        <f t="shared" si="162"/>
        <v>#DIV/0!</v>
      </c>
      <c r="O106" s="127" t="e">
        <f t="shared" si="162"/>
        <v>#DIV/0!</v>
      </c>
      <c r="P106" s="300"/>
      <c r="Q106" s="300"/>
      <c r="R106" s="300"/>
      <c r="S106" s="300"/>
      <c r="T106" s="300"/>
      <c r="U106" s="300"/>
      <c r="V106" s="300"/>
      <c r="W106" s="300"/>
      <c r="X106" s="300"/>
      <c r="Y106" s="300"/>
      <c r="Z106" s="107"/>
      <c r="AA106" s="107"/>
      <c r="AB106" s="107"/>
      <c r="AC106" s="107"/>
      <c r="AD106" s="176" t="e">
        <f>AD105/AC105-1</f>
        <v>#DIV/0!</v>
      </c>
      <c r="AE106" s="176">
        <f>AE105/AD105-1</f>
        <v>7.3710073710073765E-3</v>
      </c>
      <c r="AF106" s="176">
        <f>AF105/AE105-1</f>
        <v>1.4634146341463428E-2</v>
      </c>
      <c r="AG106" s="176">
        <f>AG105/AF105-1</f>
        <v>1.4423076923076872E-2</v>
      </c>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row>
    <row r="107" spans="1:55" ht="25" customHeight="1" x14ac:dyDescent="0.35">
      <c r="A107" s="124" t="s">
        <v>66</v>
      </c>
      <c r="B107" s="124">
        <f>B99</f>
        <v>0</v>
      </c>
      <c r="C107" s="124">
        <f t="shared" ref="C107:H107" si="163">C99</f>
        <v>0</v>
      </c>
      <c r="D107" s="124">
        <f t="shared" si="163"/>
        <v>0</v>
      </c>
      <c r="E107" s="124">
        <f t="shared" si="163"/>
        <v>0</v>
      </c>
      <c r="F107" s="124">
        <f t="shared" si="163"/>
        <v>0</v>
      </c>
      <c r="G107" s="124">
        <f t="shared" si="163"/>
        <v>0.21629999999999999</v>
      </c>
      <c r="H107" s="124">
        <f t="shared" si="163"/>
        <v>0</v>
      </c>
      <c r="I107" s="124">
        <f>H107*(1+I108)</f>
        <v>0</v>
      </c>
      <c r="J107" s="124">
        <f t="shared" ref="J107:O107" si="164">I107*(1+J108)</f>
        <v>0</v>
      </c>
      <c r="K107" s="124">
        <f t="shared" si="164"/>
        <v>0</v>
      </c>
      <c r="L107" s="124">
        <f t="shared" si="164"/>
        <v>0</v>
      </c>
      <c r="M107" s="124">
        <f t="shared" si="164"/>
        <v>0</v>
      </c>
      <c r="N107" s="124">
        <f t="shared" si="164"/>
        <v>0</v>
      </c>
      <c r="O107" s="124">
        <f t="shared" si="164"/>
        <v>0</v>
      </c>
      <c r="P107" s="303"/>
      <c r="Q107" s="303"/>
      <c r="R107" s="303"/>
      <c r="S107" s="303"/>
      <c r="T107" s="303"/>
      <c r="U107" s="303"/>
      <c r="V107" s="303"/>
      <c r="W107" s="303"/>
      <c r="X107" s="303"/>
      <c r="Y107" s="303"/>
      <c r="Z107" s="107"/>
      <c r="AA107" s="107"/>
      <c r="AB107" s="107"/>
      <c r="AC107" s="107"/>
      <c r="AD107" s="107" t="e">
        <f>SUM(AC106:AG106)/5</f>
        <v>#DIV/0!</v>
      </c>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row>
    <row r="108" spans="1:55" ht="25" customHeight="1" x14ac:dyDescent="0.35">
      <c r="A108" s="124" t="s">
        <v>74</v>
      </c>
      <c r="B108" s="127">
        <f>B100</f>
        <v>0</v>
      </c>
      <c r="C108" s="126" t="e">
        <f>C107/B107-1</f>
        <v>#DIV/0!</v>
      </c>
      <c r="D108" s="126" t="e">
        <f t="shared" ref="D108" si="165">D107/C107-1</f>
        <v>#DIV/0!</v>
      </c>
      <c r="E108" s="126" t="e">
        <f>E107/D107-1</f>
        <v>#DIV/0!</v>
      </c>
      <c r="F108" s="126" t="e">
        <f t="shared" ref="F108:G108" si="166">F107/E107-1</f>
        <v>#DIV/0!</v>
      </c>
      <c r="G108" s="126" t="e">
        <f t="shared" si="166"/>
        <v>#DIV/0!</v>
      </c>
      <c r="H108" s="126">
        <f>H107/G107-1</f>
        <v>-1</v>
      </c>
      <c r="I108" s="127">
        <f>B108</f>
        <v>0</v>
      </c>
      <c r="J108" s="126">
        <f>I108</f>
        <v>0</v>
      </c>
      <c r="K108" s="126">
        <f t="shared" ref="K108:O108" si="167">J108</f>
        <v>0</v>
      </c>
      <c r="L108" s="126">
        <f t="shared" si="167"/>
        <v>0</v>
      </c>
      <c r="M108" s="126">
        <f t="shared" si="167"/>
        <v>0</v>
      </c>
      <c r="N108" s="126">
        <f t="shared" si="167"/>
        <v>0</v>
      </c>
      <c r="O108" s="126">
        <f t="shared" si="167"/>
        <v>0</v>
      </c>
      <c r="P108" s="299"/>
      <c r="Q108" s="299"/>
      <c r="R108" s="299"/>
      <c r="S108" s="299"/>
      <c r="T108" s="299"/>
      <c r="U108" s="299"/>
      <c r="V108" s="299"/>
      <c r="W108" s="299"/>
      <c r="X108" s="299"/>
      <c r="Y108" s="299"/>
      <c r="Z108" s="107"/>
      <c r="AA108" s="107"/>
      <c r="AB108" s="107"/>
      <c r="AC108" s="107"/>
      <c r="AD108" s="107"/>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row>
    <row r="109" spans="1:55" ht="25" customHeight="1" x14ac:dyDescent="0.35">
      <c r="A109" s="373" t="s">
        <v>32</v>
      </c>
      <c r="B109" s="374"/>
      <c r="C109" s="374"/>
      <c r="D109" s="374"/>
      <c r="E109" s="374"/>
      <c r="F109" s="374"/>
      <c r="G109" s="374"/>
      <c r="H109" s="374"/>
      <c r="I109" s="374"/>
      <c r="J109" s="374"/>
      <c r="K109" s="374"/>
      <c r="L109" s="374"/>
      <c r="M109" s="374"/>
      <c r="N109" s="374"/>
      <c r="O109" s="375"/>
      <c r="P109" s="297"/>
      <c r="Q109" s="297"/>
      <c r="R109" s="297"/>
      <c r="S109" s="297"/>
      <c r="T109" s="297"/>
      <c r="U109" s="297"/>
      <c r="V109" s="297"/>
      <c r="W109" s="297"/>
      <c r="X109" s="297"/>
      <c r="Y109" s="297"/>
      <c r="Z109" s="107"/>
      <c r="AA109" s="107"/>
      <c r="AB109" s="107"/>
      <c r="AC109" s="107"/>
      <c r="AD109" s="107"/>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row>
    <row r="110" spans="1:55" ht="25" customHeight="1" x14ac:dyDescent="0.35">
      <c r="A110" s="120" t="s">
        <v>7</v>
      </c>
      <c r="B110" s="120"/>
      <c r="C110" s="120"/>
      <c r="D110" s="120"/>
      <c r="E110" s="120"/>
      <c r="F110" s="120"/>
      <c r="G110" s="120"/>
      <c r="H110" s="121"/>
      <c r="I110" s="121">
        <f>'PHP Requirement'!E54</f>
        <v>0</v>
      </c>
      <c r="J110" s="275">
        <f>I110*(1+J111)</f>
        <v>0</v>
      </c>
      <c r="K110" s="275">
        <f>J110*(1+K111)</f>
        <v>0</v>
      </c>
      <c r="L110" s="275">
        <f t="shared" ref="L110:O110" si="168">K110*(1-L111)</f>
        <v>0</v>
      </c>
      <c r="M110" s="275">
        <f t="shared" si="168"/>
        <v>0</v>
      </c>
      <c r="N110" s="275">
        <f t="shared" si="168"/>
        <v>0</v>
      </c>
      <c r="O110" s="275">
        <f t="shared" si="168"/>
        <v>0</v>
      </c>
      <c r="P110" s="298"/>
      <c r="Q110" s="298"/>
      <c r="R110" s="298"/>
      <c r="S110" s="298"/>
      <c r="T110" s="298"/>
      <c r="U110" s="298"/>
      <c r="V110" s="298"/>
      <c r="W110" s="298"/>
      <c r="X110" s="298"/>
      <c r="Y110" s="298"/>
      <c r="Z110" s="107"/>
      <c r="AA110" s="107"/>
      <c r="AB110" s="107"/>
      <c r="AC110" s="107"/>
      <c r="AD110" s="107"/>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row>
    <row r="111" spans="1:55" ht="25" customHeight="1" x14ac:dyDescent="0.35">
      <c r="A111" s="124" t="s">
        <v>31</v>
      </c>
      <c r="B111" s="120"/>
      <c r="C111" s="120"/>
      <c r="D111" s="120"/>
      <c r="E111" s="120"/>
      <c r="F111" s="120"/>
      <c r="G111" s="120"/>
      <c r="H111" s="125">
        <v>15440.3</v>
      </c>
      <c r="I111" s="126">
        <f>(1+I113)*(1+I115)*(1-I116)-1</f>
        <v>0.11910365557714542</v>
      </c>
      <c r="J111" s="126">
        <f t="shared" ref="J111:O111" si="169">(1+J113)*(1+J115)*(1-J116)-1</f>
        <v>5.6766088319683439E-2</v>
      </c>
      <c r="K111" s="126">
        <f t="shared" si="169"/>
        <v>0.12219617295070884</v>
      </c>
      <c r="L111" s="126">
        <f t="shared" si="169"/>
        <v>5.5812686667138678E-2</v>
      </c>
      <c r="M111" s="126">
        <f t="shared" si="169"/>
        <v>0.12456089099158407</v>
      </c>
      <c r="N111" s="126">
        <f t="shared" si="169"/>
        <v>5.4097872232534705E-2</v>
      </c>
      <c r="O111" s="126">
        <f t="shared" si="169"/>
        <v>0.12615118501194189</v>
      </c>
      <c r="P111" s="299"/>
      <c r="Q111" s="299"/>
      <c r="R111" s="299"/>
      <c r="S111" s="299"/>
      <c r="T111" s="299"/>
      <c r="U111" s="299"/>
      <c r="V111" s="299"/>
      <c r="W111" s="299"/>
      <c r="X111" s="299"/>
      <c r="Y111" s="299"/>
      <c r="Z111" s="107"/>
      <c r="AA111" s="107"/>
      <c r="AB111" s="107"/>
      <c r="AC111" s="107"/>
      <c r="AD111" s="107"/>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row>
    <row r="112" spans="1:55" ht="25" customHeight="1" x14ac:dyDescent="0.35">
      <c r="A112" s="124" t="s">
        <v>49</v>
      </c>
      <c r="B112" s="274">
        <v>10959.7</v>
      </c>
      <c r="C112" s="274">
        <v>11432.8</v>
      </c>
      <c r="D112" s="274">
        <v>11910.1</v>
      </c>
      <c r="E112" s="274">
        <v>12244.1</v>
      </c>
      <c r="F112" s="274">
        <v>13150</v>
      </c>
      <c r="G112" s="274">
        <v>14705.8</v>
      </c>
      <c r="H112" s="130"/>
      <c r="I112" s="130"/>
      <c r="J112" s="130"/>
      <c r="K112" s="130"/>
      <c r="L112" s="130"/>
      <c r="M112" s="127"/>
      <c r="N112" s="127"/>
      <c r="O112" s="127"/>
      <c r="P112" s="300"/>
      <c r="Q112" s="300"/>
      <c r="R112" s="300"/>
      <c r="S112" s="300"/>
      <c r="T112" s="300"/>
      <c r="U112" s="300"/>
      <c r="V112" s="300"/>
      <c r="W112" s="300"/>
      <c r="X112" s="300"/>
      <c r="Y112" s="300"/>
      <c r="Z112" s="107"/>
      <c r="AA112" s="107"/>
      <c r="AB112" s="107"/>
      <c r="AC112" s="107"/>
      <c r="AD112" s="107"/>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row>
    <row r="113" spans="1:55" ht="25" customHeight="1" x14ac:dyDescent="0.35">
      <c r="A113" s="127" t="s">
        <v>37</v>
      </c>
      <c r="B113" s="124"/>
      <c r="C113" s="126">
        <f>C112/B112-1</f>
        <v>4.316723997919647E-2</v>
      </c>
      <c r="D113" s="126">
        <f t="shared" ref="D113" si="170">D112/C112-1</f>
        <v>4.1748303127842723E-2</v>
      </c>
      <c r="E113" s="126">
        <f>E112/D112-1</f>
        <v>2.8043425328082794E-2</v>
      </c>
      <c r="F113" s="126">
        <f t="shared" ref="F113:G113" si="171">F112/E112-1</f>
        <v>7.3986654797004281E-2</v>
      </c>
      <c r="G113" s="126">
        <f t="shared" si="171"/>
        <v>0.11831178707224321</v>
      </c>
      <c r="H113" s="127">
        <f>AVERAGE($C$20:$G$20)</f>
        <v>6.1051482060873893E-2</v>
      </c>
      <c r="I113" s="127">
        <f>G113*(1+H113)</f>
        <v>0.12553489701827419</v>
      </c>
      <c r="J113" s="127">
        <f t="shared" ref="J113" si="172">H113*(1+$H$20)</f>
        <v>6.4778765522703091E-2</v>
      </c>
      <c r="K113" s="127">
        <f>I113*(1+$H$20)</f>
        <v>0.13319898853159901</v>
      </c>
      <c r="L113" s="127">
        <f t="shared" ref="L113:O113" si="173">J113*(1+$H$20)</f>
        <v>6.873360516393795E-2</v>
      </c>
      <c r="M113" s="127">
        <f t="shared" si="173"/>
        <v>0.14133098419046247</v>
      </c>
      <c r="N113" s="127">
        <f t="shared" si="173"/>
        <v>7.2929893626583295E-2</v>
      </c>
      <c r="O113" s="127">
        <f t="shared" si="173"/>
        <v>0.14995945023641213</v>
      </c>
      <c r="P113" s="300"/>
      <c r="Q113" s="300"/>
      <c r="R113" s="300"/>
      <c r="S113" s="300"/>
      <c r="T113" s="300"/>
      <c r="U113" s="300"/>
      <c r="V113" s="300"/>
      <c r="W113" s="300"/>
      <c r="X113" s="300"/>
      <c r="Y113" s="300"/>
      <c r="Z113" s="107"/>
      <c r="AA113" s="107"/>
      <c r="AB113" s="107"/>
      <c r="AC113" s="107"/>
      <c r="AD113" s="107"/>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row>
    <row r="114" spans="1:55" ht="25" customHeight="1" x14ac:dyDescent="0.35">
      <c r="A114" s="124" t="s">
        <v>40</v>
      </c>
      <c r="B114" s="124">
        <v>3.19</v>
      </c>
      <c r="C114" s="124">
        <v>3.15</v>
      </c>
      <c r="D114" s="124">
        <v>3.39</v>
      </c>
      <c r="E114" s="124">
        <v>3.4</v>
      </c>
      <c r="F114" s="124">
        <v>3.62</v>
      </c>
      <c r="G114" s="124">
        <v>3.89</v>
      </c>
      <c r="H114" s="127"/>
      <c r="I114" s="127"/>
      <c r="J114" s="127"/>
      <c r="K114" s="127"/>
      <c r="L114" s="127"/>
      <c r="M114" s="127"/>
      <c r="N114" s="127"/>
      <c r="O114" s="127"/>
      <c r="P114" s="300"/>
      <c r="Q114" s="300"/>
      <c r="R114" s="300"/>
      <c r="S114" s="300"/>
      <c r="T114" s="300"/>
      <c r="U114" s="300"/>
      <c r="V114" s="300"/>
      <c r="W114" s="300"/>
      <c r="X114" s="300"/>
      <c r="Y114" s="300"/>
      <c r="Z114" s="107"/>
      <c r="AA114" s="107"/>
      <c r="AB114" s="107"/>
      <c r="AC114" s="107"/>
      <c r="AD114" s="107"/>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row>
    <row r="115" spans="1:55" ht="25" customHeight="1" x14ac:dyDescent="0.35">
      <c r="A115" s="127">
        <f>AVERAGE(C115:G115)</f>
        <v>4.1178532291386016E-2</v>
      </c>
      <c r="B115" s="124"/>
      <c r="C115" s="126">
        <f>C114/B114-1</f>
        <v>-1.2539184952978122E-2</v>
      </c>
      <c r="D115" s="126">
        <f t="shared" ref="D115" si="174">D114/C114-1</f>
        <v>7.6190476190476364E-2</v>
      </c>
      <c r="E115" s="126">
        <f>E114/D114-1</f>
        <v>2.9498525073745618E-3</v>
      </c>
      <c r="F115" s="126">
        <f t="shared" ref="F115:G115" si="175">F114/E114-1</f>
        <v>6.4705882352941169E-2</v>
      </c>
      <c r="G115" s="126">
        <f t="shared" si="175"/>
        <v>7.4585635359116109E-2</v>
      </c>
      <c r="H115" s="127">
        <f>AVERAGE($C$22:$G$22)</f>
        <v>4.1178532291386016E-2</v>
      </c>
      <c r="I115" s="127">
        <f>H115*(1-0.5%)</f>
        <v>4.0972639629929086E-2</v>
      </c>
      <c r="J115" s="127">
        <f t="shared" ref="J115:O115" si="176">AVERAGE($C$10:$G$10)</f>
        <v>4.1178532291386016E-2</v>
      </c>
      <c r="K115" s="127">
        <f t="shared" si="176"/>
        <v>4.1178532291386016E-2</v>
      </c>
      <c r="L115" s="127">
        <f t="shared" si="176"/>
        <v>4.1178532291386016E-2</v>
      </c>
      <c r="M115" s="127">
        <f t="shared" si="176"/>
        <v>4.1178532291386016E-2</v>
      </c>
      <c r="N115" s="127">
        <f t="shared" si="176"/>
        <v>4.1178532291386016E-2</v>
      </c>
      <c r="O115" s="127">
        <f t="shared" si="176"/>
        <v>4.1178532291386016E-2</v>
      </c>
      <c r="P115" s="300"/>
      <c r="Q115" s="300"/>
      <c r="R115" s="300"/>
      <c r="S115" s="300"/>
      <c r="T115" s="300"/>
      <c r="U115" s="300"/>
      <c r="V115" s="300"/>
      <c r="W115" s="300"/>
      <c r="X115" s="300"/>
      <c r="Y115" s="300"/>
      <c r="Z115" s="107"/>
      <c r="AA115" s="107"/>
      <c r="AB115" s="107"/>
      <c r="AC115" s="107"/>
      <c r="AD115" s="107"/>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row>
    <row r="116" spans="1:55" ht="25" customHeight="1" x14ac:dyDescent="0.35">
      <c r="A116" s="127" t="s">
        <v>104</v>
      </c>
      <c r="B116" s="127">
        <v>4.2999999999999997E-2</v>
      </c>
      <c r="C116" s="127">
        <v>4.2999999999999997E-2</v>
      </c>
      <c r="D116" s="127">
        <v>4.2999999999999997E-2</v>
      </c>
      <c r="E116" s="127">
        <v>4.2999999999999997E-2</v>
      </c>
      <c r="F116" s="127">
        <v>4.2999999999999997E-2</v>
      </c>
      <c r="G116" s="127">
        <v>4.2999999999999997E-2</v>
      </c>
      <c r="H116" s="127">
        <v>4.2999999999999997E-2</v>
      </c>
      <c r="I116" s="127">
        <f>H116*(1+G116)</f>
        <v>4.4848999999999993E-2</v>
      </c>
      <c r="J116" s="127">
        <f t="shared" ref="J116:O116" si="177">I116*(1+H116)</f>
        <v>4.6777506999999989E-2</v>
      </c>
      <c r="K116" s="127">
        <f t="shared" si="177"/>
        <v>4.8875431411442988E-2</v>
      </c>
      <c r="L116" s="127">
        <f t="shared" si="177"/>
        <v>5.1161702246419784E-2</v>
      </c>
      <c r="M116" s="127">
        <f t="shared" si="177"/>
        <v>5.3662252515457344E-2</v>
      </c>
      <c r="N116" s="127">
        <f t="shared" si="177"/>
        <v>5.6407704700525356E-2</v>
      </c>
      <c r="O116" s="127">
        <f t="shared" si="177"/>
        <v>5.9434669193982298E-2</v>
      </c>
      <c r="P116" s="300"/>
      <c r="Q116" s="300"/>
      <c r="R116" s="300"/>
      <c r="S116" s="300"/>
      <c r="T116" s="300"/>
      <c r="U116" s="300"/>
      <c r="V116" s="300"/>
      <c r="W116" s="300"/>
      <c r="X116" s="300"/>
      <c r="Y116" s="300"/>
      <c r="Z116" s="107"/>
      <c r="AA116" s="107"/>
      <c r="AB116" s="107"/>
      <c r="AC116" s="107"/>
      <c r="AD116" s="107"/>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row>
    <row r="117" spans="1:55" ht="25" customHeight="1" x14ac:dyDescent="0.35">
      <c r="A117" s="120" t="s">
        <v>8</v>
      </c>
      <c r="B117" s="120"/>
      <c r="C117" s="120"/>
      <c r="D117" s="120"/>
      <c r="E117" s="120"/>
      <c r="F117" s="120"/>
      <c r="G117" s="120"/>
      <c r="H117" s="121"/>
      <c r="I117" s="121">
        <f>'PHP Requirement'!D55</f>
        <v>0</v>
      </c>
      <c r="J117" s="275">
        <f>I117*(1-J118)</f>
        <v>0</v>
      </c>
      <c r="K117" s="275">
        <f t="shared" ref="K117:O117" si="178">J117*(1-K118)</f>
        <v>0</v>
      </c>
      <c r="L117" s="275">
        <f t="shared" si="178"/>
        <v>0</v>
      </c>
      <c r="M117" s="275">
        <f t="shared" si="178"/>
        <v>0</v>
      </c>
      <c r="N117" s="275">
        <f t="shared" si="178"/>
        <v>0</v>
      </c>
      <c r="O117" s="275">
        <f t="shared" si="178"/>
        <v>0</v>
      </c>
      <c r="P117" s="298"/>
      <c r="Q117" s="298"/>
      <c r="R117" s="298"/>
      <c r="S117" s="298"/>
      <c r="T117" s="298"/>
      <c r="U117" s="298"/>
      <c r="V117" s="298"/>
      <c r="W117" s="298"/>
      <c r="X117" s="298"/>
      <c r="Y117" s="298"/>
      <c r="Z117" s="107"/>
      <c r="AA117" s="107"/>
      <c r="AB117" s="107"/>
      <c r="AC117" s="107"/>
      <c r="AD117" s="107"/>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row>
    <row r="118" spans="1:55" ht="25" customHeight="1" x14ac:dyDescent="0.35">
      <c r="A118" s="124" t="s">
        <v>31</v>
      </c>
      <c r="B118" s="126">
        <f>B119</f>
        <v>5.3093466162770699E-2</v>
      </c>
      <c r="C118" s="126">
        <f t="shared" ref="C118:G118" si="179">C119</f>
        <v>2.3920653442240401E-2</v>
      </c>
      <c r="D118" s="126">
        <f t="shared" si="179"/>
        <v>2.3931623931624003E-2</v>
      </c>
      <c r="E118" s="126">
        <f t="shared" si="179"/>
        <v>3.9271802210033201E-2</v>
      </c>
      <c r="F118" s="126">
        <f t="shared" si="179"/>
        <v>5.8211581121395496E-2</v>
      </c>
      <c r="G118" s="126">
        <f t="shared" si="179"/>
        <v>5.9780251554140899E-2</v>
      </c>
      <c r="H118" s="126">
        <f>H119</f>
        <v>3.3000000000000002E-2</v>
      </c>
      <c r="I118" s="126">
        <f>H118*(1-$B$15)</f>
        <v>3.2157173222703082E-2</v>
      </c>
      <c r="J118" s="126">
        <f>I118*(1-$B$15)</f>
        <v>3.1335872414391883E-2</v>
      </c>
      <c r="K118" s="126">
        <f>J118*(1-$B$15)</f>
        <v>3.0535547797397661E-2</v>
      </c>
      <c r="L118" s="126">
        <f>K118*(1-$B$15)</f>
        <v>2.9755663635486245E-2</v>
      </c>
      <c r="M118" s="126">
        <f>L118*(1-$B$15)</f>
        <v>2.8995697875236912E-2</v>
      </c>
      <c r="N118" s="126">
        <f t="shared" ref="N118:O118" si="180">M118*(1-$B$15)</f>
        <v>2.8255141796580518E-2</v>
      </c>
      <c r="O118" s="126">
        <f t="shared" si="180"/>
        <v>2.753349967226296E-2</v>
      </c>
      <c r="P118" s="299"/>
      <c r="Q118" s="299"/>
      <c r="R118" s="299"/>
      <c r="S118" s="299"/>
      <c r="T118" s="299"/>
      <c r="U118" s="299"/>
      <c r="V118" s="299"/>
      <c r="W118" s="299"/>
      <c r="X118" s="299"/>
      <c r="Y118" s="299"/>
      <c r="Z118" s="107"/>
      <c r="AA118" s="107"/>
      <c r="AB118" s="107"/>
      <c r="AC118" s="107"/>
      <c r="AD118" s="107"/>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row>
    <row r="119" spans="1:55" ht="25" customHeight="1" x14ac:dyDescent="0.35">
      <c r="A119" s="124" t="s">
        <v>45</v>
      </c>
      <c r="B119" s="126">
        <v>5.3093466162770699E-2</v>
      </c>
      <c r="C119" s="126">
        <v>2.3920653442240401E-2</v>
      </c>
      <c r="D119" s="126">
        <v>2.3931623931624003E-2</v>
      </c>
      <c r="E119" s="126">
        <v>3.9271802210033201E-2</v>
      </c>
      <c r="F119" s="126">
        <v>5.8211581121395496E-2</v>
      </c>
      <c r="G119" s="126">
        <v>5.9780251554140899E-2</v>
      </c>
      <c r="H119" s="130">
        <v>3.3000000000000002E-2</v>
      </c>
      <c r="I119" s="130">
        <v>0.03</v>
      </c>
      <c r="J119" s="130">
        <v>0.03</v>
      </c>
      <c r="K119" s="130">
        <v>0.03</v>
      </c>
      <c r="L119" s="130">
        <v>0.03</v>
      </c>
      <c r="M119" s="127">
        <v>0.03</v>
      </c>
      <c r="N119" s="127">
        <v>0.03</v>
      </c>
      <c r="O119" s="127">
        <v>0.03</v>
      </c>
      <c r="P119" s="300"/>
      <c r="Q119" s="300"/>
      <c r="R119" s="300"/>
      <c r="S119" s="300"/>
      <c r="T119" s="300"/>
      <c r="U119" s="300"/>
      <c r="V119" s="300"/>
      <c r="W119" s="300"/>
      <c r="X119" s="300"/>
      <c r="Y119" s="300"/>
      <c r="Z119" s="107"/>
      <c r="AA119" s="107"/>
      <c r="AB119" s="107"/>
      <c r="AC119" s="107"/>
      <c r="AD119" s="107"/>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row>
    <row r="120" spans="1:55" ht="25" customHeight="1" x14ac:dyDescent="0.35">
      <c r="A120" s="120" t="s">
        <v>46</v>
      </c>
      <c r="B120" s="277">
        <f>AVERAGE(C120:H120)</f>
        <v>2.5540205372633962E-2</v>
      </c>
      <c r="C120" s="277">
        <f>C119/B119-1</f>
        <v>-0.54946144655717288</v>
      </c>
      <c r="D120" s="277">
        <f t="shared" ref="D120:H120" si="181">D119/C119-1</f>
        <v>4.5861997081697581E-4</v>
      </c>
      <c r="E120" s="277">
        <f t="shared" si="181"/>
        <v>0.64100030663352525</v>
      </c>
      <c r="F120" s="277">
        <f t="shared" si="181"/>
        <v>0.48227424883810244</v>
      </c>
      <c r="G120" s="277">
        <f t="shared" si="181"/>
        <v>2.694773793335159E-2</v>
      </c>
      <c r="H120" s="277">
        <f t="shared" si="181"/>
        <v>-0.4479782345828196</v>
      </c>
      <c r="I120" s="121">
        <f t="shared" ref="I120:O120" si="182">I110*I117</f>
        <v>0</v>
      </c>
      <c r="J120" s="121">
        <f t="shared" si="182"/>
        <v>0</v>
      </c>
      <c r="K120" s="121">
        <f t="shared" si="182"/>
        <v>0</v>
      </c>
      <c r="L120" s="121">
        <f t="shared" si="182"/>
        <v>0</v>
      </c>
      <c r="M120" s="121">
        <f t="shared" si="182"/>
        <v>0</v>
      </c>
      <c r="N120" s="121">
        <f t="shared" si="182"/>
        <v>0</v>
      </c>
      <c r="O120" s="121">
        <f t="shared" si="182"/>
        <v>0</v>
      </c>
      <c r="P120" s="301"/>
      <c r="Q120" s="301"/>
      <c r="R120" s="301"/>
      <c r="S120" s="301"/>
      <c r="T120" s="301"/>
      <c r="U120" s="301"/>
      <c r="V120" s="301"/>
      <c r="W120" s="301"/>
      <c r="X120" s="301"/>
      <c r="Y120" s="301"/>
      <c r="Z120" s="107"/>
      <c r="AA120" s="107"/>
      <c r="AB120" s="107"/>
      <c r="AC120" s="107"/>
      <c r="AD120" s="107"/>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row>
    <row r="121" spans="1:55" ht="25" customHeight="1" x14ac:dyDescent="0.35">
      <c r="A121" s="373" t="s">
        <v>55</v>
      </c>
      <c r="B121" s="374"/>
      <c r="C121" s="374"/>
      <c r="D121" s="374"/>
      <c r="E121" s="374"/>
      <c r="F121" s="374"/>
      <c r="G121" s="374"/>
      <c r="H121" s="374"/>
      <c r="I121" s="374"/>
      <c r="J121" s="374"/>
      <c r="K121" s="374"/>
      <c r="L121" s="374"/>
      <c r="M121" s="374"/>
      <c r="N121" s="374"/>
      <c r="O121" s="375"/>
      <c r="P121" s="297"/>
      <c r="Q121" s="297"/>
      <c r="R121" s="297"/>
      <c r="S121" s="297"/>
      <c r="T121" s="297"/>
      <c r="U121" s="297"/>
      <c r="V121" s="297"/>
      <c r="W121" s="297"/>
      <c r="X121" s="297"/>
      <c r="Y121" s="297"/>
      <c r="Z121" s="107"/>
      <c r="AA121" s="107"/>
      <c r="AB121" s="107"/>
      <c r="AC121" s="107"/>
      <c r="AD121" s="107"/>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row>
    <row r="122" spans="1:55" ht="25" customHeight="1" x14ac:dyDescent="0.35">
      <c r="A122" s="120" t="s">
        <v>7</v>
      </c>
      <c r="B122" s="120"/>
      <c r="C122" s="120"/>
      <c r="D122" s="120"/>
      <c r="E122" s="120"/>
      <c r="F122" s="120"/>
      <c r="G122" s="120"/>
      <c r="H122" s="121"/>
      <c r="I122" s="121">
        <f>'PHP Requirement'!D54</f>
        <v>0</v>
      </c>
      <c r="J122" s="275">
        <f>I122*(1+J123)</f>
        <v>0</v>
      </c>
      <c r="K122" s="275">
        <f t="shared" ref="K122:O122" si="183">J122*(1+K123)</f>
        <v>0</v>
      </c>
      <c r="L122" s="275">
        <f t="shared" si="183"/>
        <v>0</v>
      </c>
      <c r="M122" s="275">
        <f t="shared" si="183"/>
        <v>0</v>
      </c>
      <c r="N122" s="275">
        <f t="shared" si="183"/>
        <v>0</v>
      </c>
      <c r="O122" s="275">
        <f t="shared" si="183"/>
        <v>0</v>
      </c>
      <c r="P122" s="298"/>
      <c r="Q122" s="298"/>
      <c r="R122" s="298"/>
      <c r="S122" s="298"/>
      <c r="T122" s="298"/>
      <c r="U122" s="298"/>
      <c r="V122" s="298"/>
      <c r="W122" s="298"/>
      <c r="X122" s="298"/>
      <c r="Y122" s="298"/>
      <c r="Z122" s="107"/>
      <c r="AA122" s="107"/>
      <c r="AB122" s="107"/>
      <c r="AC122" s="107"/>
      <c r="AD122" s="107"/>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row>
    <row r="123" spans="1:55" ht="25" customHeight="1" x14ac:dyDescent="0.35">
      <c r="A123" s="124" t="s">
        <v>31</v>
      </c>
      <c r="B123" s="120"/>
      <c r="C123" s="120"/>
      <c r="D123" s="120"/>
      <c r="E123" s="120"/>
      <c r="F123" s="120"/>
      <c r="G123" s="120"/>
      <c r="H123" s="125">
        <v>15440.3</v>
      </c>
      <c r="I123" s="126">
        <f>(1+I125)*(1+I127)-1</f>
        <v>6.8322959737758593E-2</v>
      </c>
      <c r="J123" s="126">
        <f>(1+J125)*(1+J127)*(1-J128)-1</f>
        <v>1.1141949958578756E-2</v>
      </c>
      <c r="K123" s="126">
        <f t="shared" ref="K123:O123" si="184">(1+K125)*(1+K127)*(1-K128)-1</f>
        <v>1.2255555503945192E-2</v>
      </c>
      <c r="L123" s="126">
        <f t="shared" si="184"/>
        <v>1.3415213403475068E-2</v>
      </c>
      <c r="M123" s="126">
        <f t="shared" si="184"/>
        <v>1.4622828119060127E-2</v>
      </c>
      <c r="N123" s="126">
        <f t="shared" si="184"/>
        <v>1.5880382870240295E-2</v>
      </c>
      <c r="O123" s="126">
        <f t="shared" si="184"/>
        <v>1.7189942891169929E-2</v>
      </c>
      <c r="P123" s="299"/>
      <c r="Q123" s="299"/>
      <c r="R123" s="299"/>
      <c r="S123" s="299"/>
      <c r="T123" s="299"/>
      <c r="U123" s="299"/>
      <c r="V123" s="299"/>
      <c r="W123" s="299"/>
      <c r="X123" s="299"/>
      <c r="Y123" s="299"/>
      <c r="Z123" s="107"/>
      <c r="AA123" s="107"/>
      <c r="AB123" s="107"/>
      <c r="AC123" s="107"/>
      <c r="AD123" s="107"/>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row>
    <row r="124" spans="1:55" ht="25" customHeight="1" x14ac:dyDescent="0.35">
      <c r="A124" s="124" t="s">
        <v>57</v>
      </c>
      <c r="B124" s="124">
        <v>34739.199999999997</v>
      </c>
      <c r="C124" s="124">
        <v>38142.300000000003</v>
      </c>
      <c r="D124" s="124">
        <v>39770.6</v>
      </c>
      <c r="E124" s="124">
        <v>37650.6</v>
      </c>
      <c r="F124" s="124">
        <v>40703.199999999997</v>
      </c>
      <c r="G124" s="124">
        <v>42920.4</v>
      </c>
      <c r="H124" s="124">
        <v>44003.3</v>
      </c>
      <c r="I124" s="130"/>
      <c r="J124" s="130"/>
      <c r="K124" s="130"/>
      <c r="L124" s="130"/>
      <c r="M124" s="127"/>
      <c r="N124" s="127"/>
      <c r="O124" s="127"/>
      <c r="P124" s="300"/>
      <c r="Q124" s="300"/>
      <c r="R124" s="300"/>
      <c r="S124" s="300"/>
      <c r="T124" s="300"/>
      <c r="U124" s="300"/>
      <c r="V124" s="300"/>
      <c r="W124" s="300"/>
      <c r="X124" s="300"/>
      <c r="Y124" s="300"/>
      <c r="Z124" s="107"/>
      <c r="AA124" s="107"/>
      <c r="AB124" s="107"/>
      <c r="AC124" s="107"/>
      <c r="AD124" s="107"/>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row>
    <row r="125" spans="1:55" ht="25" customHeight="1" x14ac:dyDescent="0.35">
      <c r="A125" s="127" t="s">
        <v>37</v>
      </c>
      <c r="B125" s="127">
        <f>AVERAGE(C125:H125)</f>
        <v>4.1354278770204533E-2</v>
      </c>
      <c r="C125" s="126">
        <f>C124/B124-1</f>
        <v>9.7961380803242681E-2</v>
      </c>
      <c r="D125" s="126">
        <f t="shared" ref="D125" si="185">D124/C124-1</f>
        <v>4.2690136672408174E-2</v>
      </c>
      <c r="E125" s="126">
        <f>E124/D124-1</f>
        <v>-5.3305708236737748E-2</v>
      </c>
      <c r="F125" s="126">
        <f t="shared" ref="F125:H125" si="186">F124/E124-1</f>
        <v>8.1077061188931987E-2</v>
      </c>
      <c r="G125" s="126">
        <f t="shared" si="186"/>
        <v>5.4472375636313686E-2</v>
      </c>
      <c r="H125" s="126">
        <f t="shared" si="186"/>
        <v>2.5230426557068419E-2</v>
      </c>
      <c r="I125" s="127">
        <f>H125*(1+$B$32)</f>
        <v>2.6273812650400599E-2</v>
      </c>
      <c r="J125" s="127">
        <f t="shared" ref="J125:O125" si="187">I125*(1+$B$32)</f>
        <v>2.7360347223101392E-2</v>
      </c>
      <c r="K125" s="127">
        <f t="shared" si="187"/>
        <v>2.849181464941512E-2</v>
      </c>
      <c r="L125" s="127">
        <f t="shared" si="187"/>
        <v>2.967007309509603E-2</v>
      </c>
      <c r="M125" s="127">
        <f t="shared" si="187"/>
        <v>3.0897057569002979E-2</v>
      </c>
      <c r="N125" s="127">
        <f t="shared" si="187"/>
        <v>3.2174783100890586E-2</v>
      </c>
      <c r="O125" s="127">
        <f t="shared" si="187"/>
        <v>3.3505348050615683E-2</v>
      </c>
      <c r="P125" s="300"/>
      <c r="Q125" s="300"/>
      <c r="R125" s="300"/>
      <c r="S125" s="300"/>
      <c r="T125" s="300"/>
      <c r="U125" s="300"/>
      <c r="V125" s="300"/>
      <c r="W125" s="300"/>
      <c r="X125" s="300"/>
      <c r="Y125" s="300"/>
      <c r="Z125" s="107"/>
      <c r="AA125" s="107"/>
      <c r="AB125" s="107"/>
      <c r="AC125" s="107"/>
      <c r="AD125" s="107"/>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row>
    <row r="126" spans="1:55" ht="25" customHeight="1" x14ac:dyDescent="0.35">
      <c r="A126" s="124" t="s">
        <v>40</v>
      </c>
      <c r="B126" s="124">
        <v>3.19</v>
      </c>
      <c r="C126" s="124">
        <v>3.15</v>
      </c>
      <c r="D126" s="124">
        <v>3.39</v>
      </c>
      <c r="E126" s="124">
        <v>3.4</v>
      </c>
      <c r="F126" s="124">
        <v>3.62</v>
      </c>
      <c r="G126" s="124">
        <v>3.89</v>
      </c>
      <c r="H126" s="127"/>
      <c r="I126" s="127"/>
      <c r="J126" s="127"/>
      <c r="K126" s="127"/>
      <c r="L126" s="127"/>
      <c r="M126" s="127"/>
      <c r="N126" s="127"/>
      <c r="O126" s="127"/>
      <c r="P126" s="300"/>
      <c r="Q126" s="300"/>
      <c r="R126" s="300"/>
      <c r="S126" s="300"/>
      <c r="T126" s="300"/>
      <c r="U126" s="300"/>
      <c r="V126" s="300"/>
      <c r="W126" s="300"/>
      <c r="X126" s="300"/>
      <c r="Y126" s="300"/>
      <c r="Z126" s="107"/>
      <c r="AA126" s="107"/>
      <c r="AB126" s="107"/>
      <c r="AC126" s="107"/>
      <c r="AD126" s="107"/>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row>
    <row r="127" spans="1:55" ht="25" customHeight="1" x14ac:dyDescent="0.35">
      <c r="A127" s="127">
        <f>AVERAGE(C127:G127)</f>
        <v>4.1178532291386016E-2</v>
      </c>
      <c r="B127" s="124"/>
      <c r="C127" s="126">
        <f>C126/B126-1</f>
        <v>-1.2539184952978122E-2</v>
      </c>
      <c r="D127" s="126">
        <f t="shared" ref="D127" si="188">D126/C126-1</f>
        <v>7.6190476190476364E-2</v>
      </c>
      <c r="E127" s="126">
        <f>E126/D126-1</f>
        <v>2.9498525073745618E-3</v>
      </c>
      <c r="F127" s="126">
        <f t="shared" ref="F127:G127" si="189">F126/E126-1</f>
        <v>6.4705882352941169E-2</v>
      </c>
      <c r="G127" s="126">
        <f t="shared" si="189"/>
        <v>7.4585635359116109E-2</v>
      </c>
      <c r="H127" s="127">
        <f>AVERAGE($C$22:$G$22)</f>
        <v>4.1178532291386016E-2</v>
      </c>
      <c r="I127" s="127">
        <f>H127*(1-0.5%)</f>
        <v>4.0972639629929086E-2</v>
      </c>
      <c r="J127" s="127">
        <f t="shared" ref="J127:O127" si="190">AVERAGE($C$10:$G$10)</f>
        <v>4.1178532291386016E-2</v>
      </c>
      <c r="K127" s="127">
        <f t="shared" si="190"/>
        <v>4.1178532291386016E-2</v>
      </c>
      <c r="L127" s="127">
        <f t="shared" si="190"/>
        <v>4.1178532291386016E-2</v>
      </c>
      <c r="M127" s="127">
        <f t="shared" si="190"/>
        <v>4.1178532291386016E-2</v>
      </c>
      <c r="N127" s="127">
        <f t="shared" si="190"/>
        <v>4.1178532291386016E-2</v>
      </c>
      <c r="O127" s="127">
        <f t="shared" si="190"/>
        <v>4.1178532291386016E-2</v>
      </c>
      <c r="P127" s="300"/>
      <c r="Q127" s="300"/>
      <c r="R127" s="300"/>
      <c r="S127" s="300"/>
      <c r="T127" s="300"/>
      <c r="U127" s="300"/>
      <c r="V127" s="300"/>
      <c r="W127" s="300"/>
      <c r="X127" s="300"/>
      <c r="Y127" s="300"/>
      <c r="Z127" s="107"/>
      <c r="AA127" s="107"/>
      <c r="AB127" s="107"/>
      <c r="AC127" s="107"/>
      <c r="AD127" s="107"/>
      <c r="AE127" s="107"/>
      <c r="AF127" s="107"/>
      <c r="AG127" s="107"/>
      <c r="AH127" s="107"/>
      <c r="AI127" s="107"/>
      <c r="AJ127" s="107"/>
      <c r="AK127" s="107"/>
      <c r="AL127" s="107"/>
      <c r="AM127" s="107"/>
      <c r="AN127" s="107"/>
      <c r="AO127" s="107"/>
      <c r="AP127" s="107"/>
      <c r="AQ127" s="107"/>
      <c r="AR127" s="107"/>
      <c r="AS127" s="107"/>
      <c r="AT127" s="107"/>
      <c r="AU127" s="107"/>
      <c r="AV127" s="107"/>
      <c r="AW127" s="107"/>
      <c r="AX127" s="107"/>
      <c r="AY127" s="107"/>
      <c r="AZ127" s="107"/>
      <c r="BA127" s="107"/>
      <c r="BB127" s="107"/>
    </row>
    <row r="128" spans="1:55" ht="25" customHeight="1" x14ac:dyDescent="0.35">
      <c r="A128" s="127" t="s">
        <v>59</v>
      </c>
      <c r="B128" s="127">
        <f>'Biscuit share'!$M$33</f>
        <v>5.4712044460185086E-2</v>
      </c>
      <c r="C128" s="127">
        <f>'Biscuit share'!$M$33</f>
        <v>5.4712044460185086E-2</v>
      </c>
      <c r="D128" s="127">
        <f>'Biscuit share'!$M$33</f>
        <v>5.4712044460185086E-2</v>
      </c>
      <c r="E128" s="127">
        <f>'Biscuit share'!$M$33</f>
        <v>5.4712044460185086E-2</v>
      </c>
      <c r="F128" s="127">
        <f>'Biscuit share'!$M$33</f>
        <v>5.4712044460185086E-2</v>
      </c>
      <c r="G128" s="127">
        <f>'Biscuit share'!$M$33</f>
        <v>5.4712044460185086E-2</v>
      </c>
      <c r="H128" s="127">
        <f>'Biscuit share'!$M$33</f>
        <v>5.4712044460185086E-2</v>
      </c>
      <c r="I128" s="127">
        <f>'Biscuit share'!$M$33</f>
        <v>5.4712044460185086E-2</v>
      </c>
      <c r="J128" s="127">
        <f>'Biscuit share'!$M$33</f>
        <v>5.4712044460185086E-2</v>
      </c>
      <c r="K128" s="127">
        <f>'Biscuit share'!$M$33</f>
        <v>5.4712044460185086E-2</v>
      </c>
      <c r="L128" s="127">
        <f>'Biscuit share'!$M$33</f>
        <v>5.4712044460185086E-2</v>
      </c>
      <c r="M128" s="127">
        <f>'Biscuit share'!$M$33</f>
        <v>5.4712044460185086E-2</v>
      </c>
      <c r="N128" s="127">
        <f>'Biscuit share'!$M$33</f>
        <v>5.4712044460185086E-2</v>
      </c>
      <c r="O128" s="127">
        <f>'Biscuit share'!$M$33</f>
        <v>5.4712044460185086E-2</v>
      </c>
      <c r="P128" s="300"/>
      <c r="Q128" s="300"/>
      <c r="R128" s="300"/>
      <c r="S128" s="300"/>
      <c r="T128" s="300"/>
      <c r="U128" s="300"/>
      <c r="V128" s="300"/>
      <c r="W128" s="300"/>
      <c r="X128" s="300"/>
      <c r="Y128" s="300"/>
      <c r="Z128" s="107"/>
      <c r="AA128" s="107"/>
      <c r="AB128" s="107"/>
      <c r="AC128" s="107"/>
      <c r="AD128" s="107"/>
      <c r="AE128" s="107"/>
      <c r="AF128" s="107"/>
      <c r="AG128" s="107"/>
      <c r="AH128" s="107"/>
      <c r="AI128" s="107"/>
      <c r="AJ128" s="107"/>
      <c r="AK128" s="107"/>
      <c r="AL128" s="107"/>
      <c r="AM128" s="107"/>
      <c r="AN128" s="107"/>
      <c r="AO128" s="107"/>
      <c r="AP128" s="107"/>
      <c r="AQ128" s="107"/>
      <c r="AR128" s="107"/>
      <c r="AS128" s="107"/>
      <c r="AT128" s="107"/>
      <c r="AU128" s="107"/>
      <c r="AV128" s="107"/>
      <c r="AW128" s="107"/>
      <c r="AX128" s="107"/>
      <c r="AY128" s="107"/>
      <c r="AZ128" s="107"/>
      <c r="BA128" s="107"/>
      <c r="BB128" s="107"/>
    </row>
    <row r="129" spans="1:55" ht="25" customHeight="1" x14ac:dyDescent="0.35">
      <c r="A129" s="120" t="s">
        <v>8</v>
      </c>
      <c r="B129" s="120"/>
      <c r="C129" s="120"/>
      <c r="D129" s="120"/>
      <c r="E129" s="120"/>
      <c r="F129" s="120"/>
      <c r="G129" s="120"/>
      <c r="H129" s="121"/>
      <c r="I129" s="121">
        <f>'PHP Requirement'!D55</f>
        <v>0</v>
      </c>
      <c r="J129" s="275">
        <f>I129*(1-J130)</f>
        <v>0</v>
      </c>
      <c r="K129" s="275">
        <f t="shared" ref="K129:O129" si="191">J129*(1-K130)</f>
        <v>0</v>
      </c>
      <c r="L129" s="275">
        <f t="shared" si="191"/>
        <v>0</v>
      </c>
      <c r="M129" s="275">
        <f t="shared" si="191"/>
        <v>0</v>
      </c>
      <c r="N129" s="275">
        <f t="shared" si="191"/>
        <v>0</v>
      </c>
      <c r="O129" s="275">
        <f t="shared" si="191"/>
        <v>0</v>
      </c>
      <c r="P129" s="298"/>
      <c r="Q129" s="298"/>
      <c r="R129" s="298"/>
      <c r="S129" s="298"/>
      <c r="T129" s="298"/>
      <c r="U129" s="298"/>
      <c r="V129" s="298"/>
      <c r="W129" s="298"/>
      <c r="X129" s="298"/>
      <c r="Y129" s="298"/>
      <c r="Z129" s="107"/>
      <c r="AA129" s="107"/>
      <c r="AB129" s="107"/>
      <c r="AC129" s="107"/>
      <c r="AD129" s="107"/>
      <c r="AE129" s="107"/>
      <c r="AF129" s="107"/>
      <c r="AG129" s="107"/>
      <c r="AH129" s="107"/>
      <c r="AI129" s="107"/>
      <c r="AJ129" s="107"/>
      <c r="AK129" s="107"/>
      <c r="AL129" s="107"/>
      <c r="AM129" s="107"/>
      <c r="AN129" s="107"/>
      <c r="AO129" s="107"/>
      <c r="AP129" s="107"/>
      <c r="AQ129" s="107"/>
      <c r="AR129" s="107"/>
      <c r="AS129" s="107"/>
      <c r="AT129" s="107"/>
      <c r="AU129" s="107"/>
      <c r="AV129" s="107"/>
      <c r="AW129" s="107"/>
      <c r="AX129" s="107"/>
      <c r="AY129" s="107"/>
      <c r="AZ129" s="107"/>
      <c r="BA129" s="107"/>
      <c r="BB129" s="107"/>
    </row>
    <row r="130" spans="1:55" ht="25" customHeight="1" x14ac:dyDescent="0.35">
      <c r="A130" s="124" t="s">
        <v>31</v>
      </c>
      <c r="B130" s="126">
        <f>B131</f>
        <v>5.3093466162770699E-2</v>
      </c>
      <c r="C130" s="126">
        <f t="shared" ref="C130:G130" si="192">C131</f>
        <v>2.3920653442240401E-2</v>
      </c>
      <c r="D130" s="126">
        <f t="shared" si="192"/>
        <v>2.3931623931624003E-2</v>
      </c>
      <c r="E130" s="126">
        <f t="shared" si="192"/>
        <v>3.9271802210033201E-2</v>
      </c>
      <c r="F130" s="126">
        <f t="shared" si="192"/>
        <v>5.8211581121395496E-2</v>
      </c>
      <c r="G130" s="126">
        <f t="shared" si="192"/>
        <v>5.9780251554140899E-2</v>
      </c>
      <c r="H130" s="126">
        <f>H131</f>
        <v>3.3000000000000002E-2</v>
      </c>
      <c r="I130" s="126">
        <f>H130*(1-$B$15)</f>
        <v>3.2157173222703082E-2</v>
      </c>
      <c r="J130" s="126">
        <f>I130*(1-$B$15)</f>
        <v>3.1335872414391883E-2</v>
      </c>
      <c r="K130" s="126">
        <f>J130*(1-$B$15)</f>
        <v>3.0535547797397661E-2</v>
      </c>
      <c r="L130" s="126">
        <f>K130*(1-$B$15)</f>
        <v>2.9755663635486245E-2</v>
      </c>
      <c r="M130" s="126">
        <f>L130*(1-$B$15)</f>
        <v>2.8995697875236912E-2</v>
      </c>
      <c r="N130" s="126">
        <f t="shared" ref="N130:O130" si="193">M130*(1-$B$15)</f>
        <v>2.8255141796580518E-2</v>
      </c>
      <c r="O130" s="126">
        <f t="shared" si="193"/>
        <v>2.753349967226296E-2</v>
      </c>
      <c r="P130" s="299"/>
      <c r="Q130" s="299"/>
      <c r="R130" s="299"/>
      <c r="S130" s="299"/>
      <c r="T130" s="299"/>
      <c r="U130" s="299"/>
      <c r="V130" s="299"/>
      <c r="W130" s="299"/>
      <c r="X130" s="299"/>
      <c r="Y130" s="299"/>
      <c r="Z130" s="107"/>
      <c r="AA130" s="107"/>
      <c r="AB130" s="107"/>
      <c r="AC130" s="107"/>
      <c r="AD130" s="107"/>
      <c r="AE130" s="107"/>
      <c r="AF130" s="107"/>
      <c r="AG130" s="107"/>
      <c r="AH130" s="107"/>
      <c r="AI130" s="107"/>
      <c r="AJ130" s="107"/>
      <c r="AK130" s="107"/>
      <c r="AL130" s="107"/>
      <c r="AM130" s="107"/>
      <c r="AN130" s="107"/>
      <c r="AO130" s="107"/>
      <c r="AP130" s="107"/>
      <c r="AQ130" s="107"/>
      <c r="AR130" s="107"/>
      <c r="AS130" s="107"/>
      <c r="AT130" s="107"/>
      <c r="AU130" s="107"/>
      <c r="AV130" s="107"/>
      <c r="AW130" s="107"/>
      <c r="AX130" s="107"/>
      <c r="AY130" s="107"/>
      <c r="AZ130" s="107"/>
      <c r="BA130" s="107"/>
      <c r="BB130" s="107"/>
      <c r="BC130" s="107"/>
    </row>
    <row r="131" spans="1:55" ht="25" customHeight="1" x14ac:dyDescent="0.35">
      <c r="A131" s="124" t="s">
        <v>45</v>
      </c>
      <c r="B131" s="126">
        <v>5.3093466162770699E-2</v>
      </c>
      <c r="C131" s="126">
        <v>2.3920653442240401E-2</v>
      </c>
      <c r="D131" s="126">
        <v>2.3931623931624003E-2</v>
      </c>
      <c r="E131" s="126">
        <v>3.9271802210033201E-2</v>
      </c>
      <c r="F131" s="126">
        <v>5.8211581121395496E-2</v>
      </c>
      <c r="G131" s="126">
        <v>5.9780251554140899E-2</v>
      </c>
      <c r="H131" s="130">
        <v>3.3000000000000002E-2</v>
      </c>
      <c r="I131" s="130">
        <v>0.03</v>
      </c>
      <c r="J131" s="130">
        <v>0.03</v>
      </c>
      <c r="K131" s="130">
        <v>0.03</v>
      </c>
      <c r="L131" s="130">
        <v>0.03</v>
      </c>
      <c r="M131" s="127">
        <v>0.03</v>
      </c>
      <c r="N131" s="127">
        <v>0.03</v>
      </c>
      <c r="O131" s="127">
        <v>0.03</v>
      </c>
      <c r="P131" s="300"/>
      <c r="Q131" s="300"/>
      <c r="R131" s="300"/>
      <c r="S131" s="300"/>
      <c r="T131" s="300"/>
      <c r="U131" s="300"/>
      <c r="V131" s="300"/>
      <c r="W131" s="300"/>
      <c r="X131" s="300"/>
      <c r="Y131" s="300"/>
      <c r="Z131" s="107"/>
      <c r="AA131" s="107"/>
      <c r="AB131" s="107"/>
      <c r="AC131" s="107"/>
      <c r="AD131" s="107"/>
      <c r="AE131" s="107"/>
      <c r="AF131" s="107"/>
      <c r="AG131" s="107"/>
      <c r="AH131" s="107"/>
      <c r="AI131" s="107"/>
      <c r="AJ131" s="107"/>
      <c r="AK131" s="107"/>
      <c r="AL131" s="107"/>
      <c r="AM131" s="107"/>
      <c r="AN131" s="107"/>
      <c r="AO131" s="107"/>
      <c r="AP131" s="107"/>
      <c r="AQ131" s="107"/>
      <c r="AR131" s="107"/>
      <c r="AS131" s="107"/>
      <c r="AT131" s="107"/>
      <c r="AU131" s="107"/>
      <c r="AV131" s="107"/>
      <c r="AW131" s="107"/>
      <c r="AX131" s="107"/>
      <c r="AY131" s="107"/>
      <c r="AZ131" s="107"/>
      <c r="BA131" s="107"/>
      <c r="BB131" s="107"/>
      <c r="BC131" s="107"/>
    </row>
    <row r="132" spans="1:55" ht="25" customHeight="1" x14ac:dyDescent="0.35">
      <c r="A132" s="120" t="s">
        <v>46</v>
      </c>
      <c r="B132" s="277">
        <f>AVERAGE(C132:H132)</f>
        <v>2.5540205372633962E-2</v>
      </c>
      <c r="C132" s="277">
        <f>C131/B131-1</f>
        <v>-0.54946144655717288</v>
      </c>
      <c r="D132" s="277">
        <f t="shared" ref="D132:H132" si="194">D131/C131-1</f>
        <v>4.5861997081697581E-4</v>
      </c>
      <c r="E132" s="277">
        <f t="shared" si="194"/>
        <v>0.64100030663352525</v>
      </c>
      <c r="F132" s="277">
        <f t="shared" si="194"/>
        <v>0.48227424883810244</v>
      </c>
      <c r="G132" s="277">
        <f t="shared" si="194"/>
        <v>2.694773793335159E-2</v>
      </c>
      <c r="H132" s="277">
        <f t="shared" si="194"/>
        <v>-0.4479782345828196</v>
      </c>
      <c r="I132" s="121">
        <f t="shared" ref="I132:O132" si="195">I122*I129</f>
        <v>0</v>
      </c>
      <c r="J132" s="121">
        <f t="shared" si="195"/>
        <v>0</v>
      </c>
      <c r="K132" s="121">
        <f t="shared" si="195"/>
        <v>0</v>
      </c>
      <c r="L132" s="121">
        <f t="shared" si="195"/>
        <v>0</v>
      </c>
      <c r="M132" s="121">
        <f t="shared" si="195"/>
        <v>0</v>
      </c>
      <c r="N132" s="121">
        <f t="shared" si="195"/>
        <v>0</v>
      </c>
      <c r="O132" s="121">
        <f t="shared" si="195"/>
        <v>0</v>
      </c>
      <c r="P132" s="301"/>
      <c r="Q132" s="301"/>
      <c r="R132" s="301"/>
      <c r="S132" s="301"/>
      <c r="T132" s="301"/>
      <c r="U132" s="301"/>
      <c r="V132" s="301"/>
      <c r="W132" s="301"/>
      <c r="X132" s="301"/>
      <c r="Y132" s="301"/>
      <c r="Z132" s="107"/>
      <c r="AA132" s="107"/>
      <c r="AB132" s="107"/>
      <c r="AC132" s="107"/>
      <c r="AD132" s="107"/>
      <c r="AE132" s="107"/>
      <c r="AF132" s="107"/>
      <c r="AG132" s="107"/>
      <c r="AH132" s="107"/>
      <c r="AI132" s="107"/>
      <c r="AJ132" s="107"/>
      <c r="AK132" s="107"/>
      <c r="AL132" s="107"/>
      <c r="AM132" s="107"/>
      <c r="AN132" s="107"/>
      <c r="AO132" s="107"/>
      <c r="AP132" s="107"/>
      <c r="AQ132" s="107"/>
      <c r="AR132" s="107"/>
      <c r="AS132" s="107"/>
      <c r="AT132" s="107"/>
      <c r="AU132" s="107"/>
      <c r="AV132" s="107"/>
      <c r="AW132" s="107"/>
      <c r="AX132" s="107"/>
      <c r="AY132" s="107"/>
      <c r="AZ132" s="107"/>
      <c r="BA132" s="107"/>
      <c r="BB132" s="107"/>
      <c r="BC132" s="107"/>
    </row>
    <row r="133" spans="1:55" ht="25" customHeight="1" x14ac:dyDescent="0.35">
      <c r="A133" s="373" t="s">
        <v>5</v>
      </c>
      <c r="B133" s="374"/>
      <c r="C133" s="374"/>
      <c r="D133" s="374"/>
      <c r="E133" s="374"/>
      <c r="F133" s="374"/>
      <c r="G133" s="374"/>
      <c r="H133" s="374"/>
      <c r="I133" s="374"/>
      <c r="J133" s="374"/>
      <c r="K133" s="374"/>
      <c r="L133" s="374"/>
      <c r="M133" s="374"/>
      <c r="N133" s="374"/>
      <c r="O133" s="375"/>
      <c r="P133" s="297"/>
      <c r="Q133" s="297"/>
      <c r="R133" s="297"/>
      <c r="S133" s="297"/>
      <c r="T133" s="297"/>
      <c r="U133" s="297"/>
      <c r="V133" s="297"/>
      <c r="W133" s="297"/>
      <c r="X133" s="297"/>
      <c r="Y133" s="297"/>
      <c r="Z133" s="107"/>
      <c r="AA133" s="107"/>
      <c r="AB133" s="107"/>
      <c r="AC133" s="107"/>
      <c r="AD133" s="107"/>
      <c r="AE133" s="107"/>
      <c r="AF133" s="107"/>
      <c r="AG133" s="107"/>
      <c r="AH133" s="107"/>
      <c r="AI133" s="107"/>
      <c r="AJ133" s="107"/>
      <c r="AK133" s="107"/>
      <c r="AL133" s="107"/>
      <c r="AM133" s="107"/>
      <c r="AN133" s="107"/>
      <c r="AO133" s="107"/>
      <c r="AP133" s="107"/>
      <c r="AQ133" s="107"/>
      <c r="AR133" s="107"/>
      <c r="AS133" s="107"/>
      <c r="AT133" s="107"/>
      <c r="AU133" s="107"/>
      <c r="AV133" s="107"/>
      <c r="AW133" s="107"/>
      <c r="AX133" s="107"/>
      <c r="AY133" s="107"/>
      <c r="AZ133" s="107"/>
      <c r="BA133" s="107"/>
      <c r="BB133" s="107"/>
      <c r="BC133" s="107"/>
    </row>
    <row r="134" spans="1:55" ht="25" customHeight="1" x14ac:dyDescent="0.35">
      <c r="A134" s="120" t="s">
        <v>7</v>
      </c>
      <c r="B134" s="120"/>
      <c r="C134" s="120"/>
      <c r="D134" s="120"/>
      <c r="E134" s="120"/>
      <c r="F134" s="120"/>
      <c r="G134" s="120"/>
      <c r="H134" s="121"/>
      <c r="I134" s="121">
        <f>'PHP Requirement'!F54</f>
        <v>0</v>
      </c>
      <c r="J134" s="275">
        <f>I134*(1+J135)</f>
        <v>0</v>
      </c>
      <c r="K134" s="275">
        <f t="shared" ref="K134:O134" si="196">J134*(1+K135)</f>
        <v>0</v>
      </c>
      <c r="L134" s="275">
        <f t="shared" si="196"/>
        <v>0</v>
      </c>
      <c r="M134" s="275">
        <f t="shared" si="196"/>
        <v>0</v>
      </c>
      <c r="N134" s="275">
        <f t="shared" si="196"/>
        <v>0</v>
      </c>
      <c r="O134" s="275">
        <f t="shared" si="196"/>
        <v>0</v>
      </c>
      <c r="P134" s="298"/>
      <c r="Q134" s="298"/>
      <c r="R134" s="298"/>
      <c r="S134" s="298"/>
      <c r="T134" s="298"/>
      <c r="U134" s="298"/>
      <c r="V134" s="298"/>
      <c r="W134" s="298"/>
      <c r="X134" s="298"/>
      <c r="Y134" s="298"/>
      <c r="Z134" s="107"/>
      <c r="AA134" s="107"/>
      <c r="AB134" s="107"/>
      <c r="AC134" s="107"/>
      <c r="AD134" s="107"/>
      <c r="AE134" s="107"/>
      <c r="AF134" s="107"/>
      <c r="AG134" s="107"/>
      <c r="AH134" s="107"/>
      <c r="AI134" s="107"/>
      <c r="AJ134" s="107"/>
      <c r="AK134" s="107"/>
      <c r="AL134" s="107"/>
      <c r="AM134" s="107"/>
      <c r="AN134" s="107"/>
      <c r="AO134" s="107"/>
      <c r="AP134" s="107"/>
      <c r="AQ134" s="107"/>
      <c r="AR134" s="107"/>
      <c r="AS134" s="107"/>
      <c r="AT134" s="107"/>
      <c r="AU134" s="107"/>
      <c r="AV134" s="107"/>
      <c r="AW134" s="107"/>
      <c r="AX134" s="107"/>
      <c r="AY134" s="107"/>
      <c r="AZ134" s="107"/>
      <c r="BA134" s="107"/>
      <c r="BB134" s="107"/>
      <c r="BC134" s="107"/>
    </row>
    <row r="135" spans="1:55" ht="25" customHeight="1" x14ac:dyDescent="0.35">
      <c r="A135" s="124" t="s">
        <v>31</v>
      </c>
      <c r="B135" s="120"/>
      <c r="C135" s="120"/>
      <c r="D135" s="120"/>
      <c r="E135" s="120"/>
      <c r="F135" s="120"/>
      <c r="G135" s="120"/>
      <c r="H135" s="125">
        <v>15440.3</v>
      </c>
      <c r="I135" s="126">
        <f>(1+I137)*(1+I139)-1</f>
        <v>0.11305054743886433</v>
      </c>
      <c r="J135" s="126">
        <f>(1+J137)*(1+J139)*(1-J140)-1</f>
        <v>3.9339469027979357E-2</v>
      </c>
      <c r="K135" s="126">
        <f t="shared" ref="K135:O135" si="197">(1+K137)*(1+K139)*(1-K140)-1</f>
        <v>4.5832727200814993E-2</v>
      </c>
      <c r="L135" s="126">
        <f t="shared" si="197"/>
        <v>5.2904498924576826E-2</v>
      </c>
      <c r="M135" s="126">
        <f t="shared" si="197"/>
        <v>6.0606326571322144E-2</v>
      </c>
      <c r="N135" s="126">
        <f t="shared" si="197"/>
        <v>6.8994344654662587E-2</v>
      </c>
      <c r="O135" s="126">
        <f t="shared" si="197"/>
        <v>7.8129688964292621E-2</v>
      </c>
      <c r="P135" s="299"/>
      <c r="Q135" s="299"/>
      <c r="R135" s="299"/>
      <c r="S135" s="299"/>
      <c r="T135" s="299"/>
      <c r="U135" s="299"/>
      <c r="V135" s="299"/>
      <c r="W135" s="299"/>
      <c r="X135" s="299"/>
      <c r="Y135" s="299"/>
      <c r="Z135" s="107"/>
      <c r="AA135" s="107"/>
      <c r="AB135" s="107"/>
      <c r="AC135" s="107"/>
      <c r="AD135" s="107"/>
      <c r="AE135" s="107"/>
      <c r="AF135" s="107"/>
      <c r="AG135" s="107"/>
      <c r="AH135" s="107"/>
      <c r="AI135" s="107"/>
      <c r="AJ135" s="107"/>
      <c r="AK135" s="107"/>
      <c r="AL135" s="107"/>
      <c r="AM135" s="107"/>
      <c r="AN135" s="107"/>
      <c r="AO135" s="107"/>
      <c r="AP135" s="107"/>
      <c r="AQ135" s="107"/>
      <c r="AR135" s="107"/>
      <c r="AS135" s="107"/>
      <c r="AT135" s="107"/>
      <c r="AU135" s="107"/>
      <c r="AV135" s="107"/>
      <c r="AW135" s="107"/>
      <c r="AX135" s="107"/>
      <c r="AY135" s="107"/>
      <c r="AZ135" s="107"/>
      <c r="BA135" s="107"/>
      <c r="BB135" s="107"/>
      <c r="BC135" s="107"/>
    </row>
    <row r="136" spans="1:55" ht="25" customHeight="1" x14ac:dyDescent="0.35">
      <c r="A136" s="124" t="s">
        <v>61</v>
      </c>
      <c r="B136" s="124">
        <v>13267.8</v>
      </c>
      <c r="C136" s="124">
        <v>14684</v>
      </c>
      <c r="D136" s="124">
        <v>16463.599999999999</v>
      </c>
      <c r="E136" s="124">
        <v>17617.2</v>
      </c>
      <c r="F136" s="124">
        <v>20064</v>
      </c>
      <c r="G136" s="124">
        <v>20748.2</v>
      </c>
      <c r="H136" s="124">
        <v>22067.3</v>
      </c>
      <c r="I136" s="130"/>
      <c r="J136" s="130"/>
      <c r="K136" s="130"/>
      <c r="L136" s="130"/>
      <c r="M136" s="127"/>
      <c r="N136" s="127"/>
      <c r="O136" s="127"/>
      <c r="P136" s="300"/>
      <c r="Q136" s="300"/>
      <c r="R136" s="300"/>
      <c r="S136" s="300"/>
      <c r="T136" s="300"/>
      <c r="U136" s="300"/>
      <c r="V136" s="300"/>
      <c r="W136" s="300"/>
      <c r="X136" s="300"/>
      <c r="Y136" s="300"/>
      <c r="Z136" s="107"/>
      <c r="AA136" s="107"/>
      <c r="AB136" s="107"/>
      <c r="AC136" s="107"/>
      <c r="AD136" s="107"/>
      <c r="AE136" s="107"/>
      <c r="AF136" s="107"/>
      <c r="AG136" s="107"/>
      <c r="AH136" s="107"/>
      <c r="AI136" s="107"/>
      <c r="AJ136" s="107"/>
      <c r="AK136" s="107"/>
      <c r="AL136" s="107"/>
      <c r="AM136" s="107"/>
      <c r="AN136" s="107"/>
      <c r="AO136" s="107"/>
      <c r="AP136" s="107"/>
      <c r="AQ136" s="107"/>
      <c r="AR136" s="107"/>
      <c r="AS136" s="107"/>
      <c r="AT136" s="107"/>
      <c r="AU136" s="107"/>
      <c r="AV136" s="107"/>
      <c r="AW136" s="107"/>
      <c r="AX136" s="107"/>
      <c r="AY136" s="107"/>
      <c r="AZ136" s="107"/>
      <c r="BA136" s="107"/>
      <c r="BB136" s="107"/>
      <c r="BC136" s="107"/>
    </row>
    <row r="137" spans="1:55" ht="25" customHeight="1" x14ac:dyDescent="0.35">
      <c r="A137" s="127" t="s">
        <v>37</v>
      </c>
      <c r="B137" s="127">
        <f>AVERAGE(C137:H137)</f>
        <v>8.9094493939380445E-2</v>
      </c>
      <c r="C137" s="126">
        <f>C136/B136-1</f>
        <v>0.10673962525814384</v>
      </c>
      <c r="D137" s="126">
        <f t="shared" ref="D137" si="198">D136/C136-1</f>
        <v>0.1211931353854534</v>
      </c>
      <c r="E137" s="126">
        <f>E136/D136-1</f>
        <v>7.0069729585267027E-2</v>
      </c>
      <c r="F137" s="126">
        <f t="shared" ref="F137:G137" si="199">F136/E136-1</f>
        <v>0.13888699679858307</v>
      </c>
      <c r="G137" s="126">
        <f t="shared" si="199"/>
        <v>3.4100877192982493E-2</v>
      </c>
      <c r="H137" s="126">
        <f>H136/G136-1</f>
        <v>6.3576599415852808E-2</v>
      </c>
      <c r="I137" s="127">
        <f>H137*(1+$B$44)</f>
        <v>6.9240924367194923E-2</v>
      </c>
      <c r="J137" s="127">
        <f>I137*(1+$B$44)</f>
        <v>7.5409909483585072E-2</v>
      </c>
      <c r="K137" s="127">
        <f>J137*(1+$B$44)</f>
        <v>8.2128517207039578E-2</v>
      </c>
      <c r="L137" s="127">
        <f t="shared" ref="L137:O137" si="200">K137*(1+$B$44)</f>
        <v>8.9445715885592469E-2</v>
      </c>
      <c r="M137" s="127">
        <f t="shared" si="200"/>
        <v>9.7414836677464936E-2</v>
      </c>
      <c r="N137" s="127">
        <f t="shared" si="200"/>
        <v>0.10609396225343108</v>
      </c>
      <c r="O137" s="127">
        <f t="shared" si="200"/>
        <v>0.11554635013042426</v>
      </c>
      <c r="P137" s="300"/>
      <c r="Q137" s="300"/>
      <c r="R137" s="300"/>
      <c r="S137" s="300"/>
      <c r="T137" s="300"/>
      <c r="U137" s="300"/>
      <c r="V137" s="300"/>
      <c r="W137" s="300"/>
      <c r="X137" s="300"/>
      <c r="Y137" s="300"/>
      <c r="Z137" s="107"/>
      <c r="AA137" s="107"/>
      <c r="AB137" s="107"/>
      <c r="AC137" s="107"/>
      <c r="AD137" s="107"/>
      <c r="AE137" s="107"/>
      <c r="AF137" s="107"/>
      <c r="AG137" s="107"/>
      <c r="AH137" s="107"/>
      <c r="AI137" s="107"/>
      <c r="AJ137" s="107"/>
      <c r="AK137" s="107"/>
      <c r="AL137" s="107"/>
      <c r="AM137" s="107"/>
      <c r="AN137" s="107"/>
      <c r="AO137" s="107"/>
      <c r="AP137" s="107"/>
      <c r="AQ137" s="107"/>
      <c r="AR137" s="107"/>
      <c r="AS137" s="107"/>
      <c r="AT137" s="107"/>
      <c r="AU137" s="107"/>
      <c r="AV137" s="107"/>
      <c r="AW137" s="107"/>
      <c r="AX137" s="107"/>
      <c r="AY137" s="107"/>
      <c r="AZ137" s="107"/>
      <c r="BA137" s="107"/>
      <c r="BB137" s="107"/>
      <c r="BC137" s="107"/>
    </row>
    <row r="138" spans="1:55" ht="25" customHeight="1" x14ac:dyDescent="0.35">
      <c r="A138" s="124" t="s">
        <v>40</v>
      </c>
      <c r="B138" s="124">
        <v>3.19</v>
      </c>
      <c r="C138" s="124">
        <v>3.15</v>
      </c>
      <c r="D138" s="124">
        <v>3.39</v>
      </c>
      <c r="E138" s="124">
        <v>3.4</v>
      </c>
      <c r="F138" s="124">
        <v>3.62</v>
      </c>
      <c r="G138" s="124">
        <v>3.89</v>
      </c>
      <c r="H138" s="127"/>
      <c r="I138" s="127"/>
      <c r="J138" s="127"/>
      <c r="K138" s="127"/>
      <c r="L138" s="127"/>
      <c r="M138" s="127"/>
      <c r="N138" s="127"/>
      <c r="O138" s="127"/>
      <c r="P138" s="300"/>
      <c r="Q138" s="300"/>
      <c r="R138" s="300"/>
      <c r="S138" s="300"/>
      <c r="T138" s="300"/>
      <c r="U138" s="300"/>
      <c r="V138" s="300"/>
      <c r="W138" s="300"/>
      <c r="X138" s="300"/>
      <c r="Y138" s="300"/>
      <c r="Z138" s="107"/>
      <c r="AA138" s="107"/>
      <c r="AB138" s="107"/>
      <c r="AC138" s="107"/>
      <c r="AD138" s="107"/>
      <c r="AE138" s="107"/>
      <c r="AF138" s="107"/>
      <c r="AG138" s="107"/>
      <c r="AH138" s="107"/>
      <c r="AI138" s="107"/>
      <c r="AJ138" s="107"/>
      <c r="AK138" s="107"/>
      <c r="AL138" s="107"/>
      <c r="AM138" s="107"/>
      <c r="AN138" s="107"/>
      <c r="AO138" s="107"/>
      <c r="AP138" s="107"/>
      <c r="AQ138" s="107"/>
      <c r="AR138" s="107"/>
      <c r="AS138" s="107"/>
      <c r="AT138" s="107"/>
      <c r="AU138" s="107"/>
      <c r="AV138" s="107"/>
      <c r="AW138" s="107"/>
      <c r="AX138" s="107"/>
      <c r="AY138" s="107"/>
      <c r="AZ138" s="107"/>
      <c r="BA138" s="107"/>
      <c r="BB138" s="107"/>
      <c r="BC138" s="107"/>
    </row>
    <row r="139" spans="1:55" ht="25" customHeight="1" x14ac:dyDescent="0.35">
      <c r="A139" s="127">
        <f>AVERAGE(C139:G139)</f>
        <v>4.1178532291386016E-2</v>
      </c>
      <c r="B139" s="124"/>
      <c r="C139" s="126">
        <f>C138/B138-1</f>
        <v>-1.2539184952978122E-2</v>
      </c>
      <c r="D139" s="126">
        <f t="shared" ref="D139" si="201">D138/C138-1</f>
        <v>7.6190476190476364E-2</v>
      </c>
      <c r="E139" s="126">
        <f>E138/D138-1</f>
        <v>2.9498525073745618E-3</v>
      </c>
      <c r="F139" s="126">
        <f t="shared" ref="F139:G139" si="202">F138/E138-1</f>
        <v>6.4705882352941169E-2</v>
      </c>
      <c r="G139" s="126">
        <f t="shared" si="202"/>
        <v>7.4585635359116109E-2</v>
      </c>
      <c r="H139" s="127">
        <f>AVERAGE($C$22:$G$22)</f>
        <v>4.1178532291386016E-2</v>
      </c>
      <c r="I139" s="127">
        <f>H139*(1-0.5%)</f>
        <v>4.0972639629929086E-2</v>
      </c>
      <c r="J139" s="127">
        <f t="shared" ref="J139:O139" si="203">AVERAGE($C$10:$G$10)</f>
        <v>4.1178532291386016E-2</v>
      </c>
      <c r="K139" s="127">
        <f t="shared" si="203"/>
        <v>4.1178532291386016E-2</v>
      </c>
      <c r="L139" s="127">
        <f t="shared" si="203"/>
        <v>4.1178532291386016E-2</v>
      </c>
      <c r="M139" s="127">
        <f t="shared" si="203"/>
        <v>4.1178532291386016E-2</v>
      </c>
      <c r="N139" s="127">
        <f t="shared" si="203"/>
        <v>4.1178532291386016E-2</v>
      </c>
      <c r="O139" s="127">
        <f t="shared" si="203"/>
        <v>4.1178532291386016E-2</v>
      </c>
      <c r="P139" s="300"/>
      <c r="Q139" s="300"/>
      <c r="R139" s="300"/>
      <c r="S139" s="300"/>
      <c r="T139" s="300"/>
      <c r="U139" s="300"/>
      <c r="V139" s="300"/>
      <c r="W139" s="300"/>
      <c r="X139" s="300"/>
      <c r="Y139" s="300"/>
      <c r="Z139" s="107"/>
      <c r="AA139" s="107"/>
      <c r="AB139" s="107"/>
      <c r="AC139" s="107"/>
      <c r="AD139" s="107"/>
      <c r="AE139" s="107"/>
      <c r="AF139" s="107"/>
      <c r="AG139" s="107"/>
      <c r="AH139" s="107"/>
      <c r="AI139" s="107"/>
      <c r="AJ139" s="107"/>
      <c r="AK139" s="107"/>
      <c r="AL139" s="107"/>
      <c r="AM139" s="107"/>
      <c r="AN139" s="107"/>
      <c r="AO139" s="107"/>
      <c r="AP139" s="107"/>
      <c r="AQ139" s="107"/>
      <c r="AR139" s="107"/>
      <c r="AS139" s="107"/>
      <c r="AT139" s="107"/>
      <c r="AU139" s="107"/>
      <c r="AV139" s="107"/>
      <c r="AW139" s="107"/>
      <c r="AX139" s="107"/>
      <c r="AY139" s="107"/>
      <c r="AZ139" s="107"/>
      <c r="BA139" s="107"/>
      <c r="BB139" s="107"/>
      <c r="BC139" s="107"/>
    </row>
    <row r="140" spans="1:55" ht="25" customHeight="1" x14ac:dyDescent="0.35">
      <c r="A140" s="127" t="s">
        <v>59</v>
      </c>
      <c r="B140" s="127">
        <f>'Savoury snacks'!$O$28</f>
        <v>7.1764484642813944E-2</v>
      </c>
      <c r="C140" s="127">
        <f>'Savoury snacks'!$O$28</f>
        <v>7.1764484642813944E-2</v>
      </c>
      <c r="D140" s="127">
        <f>'Savoury snacks'!$O$28</f>
        <v>7.1764484642813944E-2</v>
      </c>
      <c r="E140" s="127">
        <f>'Savoury snacks'!$O$28</f>
        <v>7.1764484642813944E-2</v>
      </c>
      <c r="F140" s="127">
        <f>'Savoury snacks'!$O$28</f>
        <v>7.1764484642813944E-2</v>
      </c>
      <c r="G140" s="127">
        <f>'Savoury snacks'!$O$28</f>
        <v>7.1764484642813944E-2</v>
      </c>
      <c r="H140" s="127">
        <f>'Savoury snacks'!$O$28</f>
        <v>7.1764484642813944E-2</v>
      </c>
      <c r="I140" s="127">
        <f>'Savoury snacks'!$O$28</f>
        <v>7.1764484642813944E-2</v>
      </c>
      <c r="J140" s="127">
        <f>'Savoury snacks'!$O$28</f>
        <v>7.1764484642813944E-2</v>
      </c>
      <c r="K140" s="127">
        <f>'Savoury snacks'!$O$28</f>
        <v>7.1764484642813944E-2</v>
      </c>
      <c r="L140" s="127">
        <f>'Savoury snacks'!$O$28</f>
        <v>7.1764484642813944E-2</v>
      </c>
      <c r="M140" s="127">
        <f>'Savoury snacks'!$O$28</f>
        <v>7.1764484642813944E-2</v>
      </c>
      <c r="N140" s="127">
        <f>'Savoury snacks'!$O$28</f>
        <v>7.1764484642813944E-2</v>
      </c>
      <c r="O140" s="127">
        <f>'Savoury snacks'!$O$28</f>
        <v>7.1764484642813944E-2</v>
      </c>
      <c r="P140" s="300"/>
      <c r="Q140" s="300"/>
      <c r="R140" s="300"/>
      <c r="S140" s="300"/>
      <c r="T140" s="300"/>
      <c r="U140" s="300"/>
      <c r="V140" s="300"/>
      <c r="W140" s="300"/>
      <c r="X140" s="300"/>
      <c r="Y140" s="300"/>
      <c r="Z140" s="107"/>
      <c r="AA140" s="107"/>
      <c r="AB140" s="107"/>
      <c r="AC140" s="107"/>
      <c r="AD140" s="107"/>
      <c r="AE140" s="107"/>
      <c r="AF140" s="107"/>
      <c r="AG140" s="107"/>
      <c r="AH140" s="107"/>
      <c r="AI140" s="107"/>
      <c r="AJ140" s="107"/>
      <c r="AK140" s="107"/>
      <c r="AL140" s="107"/>
      <c r="AM140" s="107"/>
      <c r="AN140" s="107"/>
      <c r="AO140" s="107"/>
      <c r="AP140" s="107"/>
      <c r="AQ140" s="107"/>
      <c r="AR140" s="107"/>
      <c r="AS140" s="107"/>
      <c r="AT140" s="107"/>
      <c r="AU140" s="107"/>
      <c r="AV140" s="107"/>
      <c r="AW140" s="107"/>
      <c r="AX140" s="107"/>
      <c r="AY140" s="107"/>
      <c r="AZ140" s="107"/>
      <c r="BA140" s="107"/>
      <c r="BB140" s="107"/>
      <c r="BC140" s="107"/>
    </row>
    <row r="141" spans="1:55" ht="25" customHeight="1" x14ac:dyDescent="0.35">
      <c r="A141" s="120" t="s">
        <v>8</v>
      </c>
      <c r="B141" s="120"/>
      <c r="C141" s="120"/>
      <c r="D141" s="120"/>
      <c r="E141" s="120"/>
      <c r="F141" s="120"/>
      <c r="G141" s="120"/>
      <c r="H141" s="121"/>
      <c r="I141" s="121">
        <f>'PHP Requirement'!F55</f>
        <v>0</v>
      </c>
      <c r="J141" s="275">
        <f>I141*(1-J142)</f>
        <v>0</v>
      </c>
      <c r="K141" s="275">
        <f t="shared" ref="K141:O141" si="204">J141*(1-K142)</f>
        <v>0</v>
      </c>
      <c r="L141" s="275">
        <f t="shared" si="204"/>
        <v>0</v>
      </c>
      <c r="M141" s="275">
        <f t="shared" si="204"/>
        <v>0</v>
      </c>
      <c r="N141" s="275">
        <f t="shared" si="204"/>
        <v>0</v>
      </c>
      <c r="O141" s="275">
        <f t="shared" si="204"/>
        <v>0</v>
      </c>
      <c r="P141" s="298"/>
      <c r="Q141" s="298"/>
      <c r="R141" s="298"/>
      <c r="S141" s="298"/>
      <c r="T141" s="298"/>
      <c r="U141" s="298"/>
      <c r="V141" s="298"/>
      <c r="W141" s="298"/>
      <c r="X141" s="298"/>
      <c r="Y141" s="298"/>
      <c r="Z141" s="107"/>
      <c r="AA141" s="107"/>
      <c r="AB141" s="107"/>
      <c r="AC141" s="107"/>
      <c r="AD141" s="107"/>
      <c r="AE141" s="107"/>
      <c r="AF141" s="107"/>
      <c r="AG141" s="107"/>
      <c r="AH141" s="107"/>
      <c r="AI141" s="107"/>
      <c r="AJ141" s="107"/>
      <c r="AK141" s="107"/>
      <c r="AL141" s="107"/>
      <c r="AM141" s="107"/>
      <c r="AN141" s="107"/>
      <c r="AO141" s="107"/>
      <c r="AP141" s="107"/>
      <c r="AQ141" s="107"/>
      <c r="AR141" s="107"/>
      <c r="AS141" s="107"/>
      <c r="AT141" s="107"/>
      <c r="AU141" s="107"/>
      <c r="AV141" s="107"/>
      <c r="AW141" s="107"/>
      <c r="AX141" s="107"/>
      <c r="AY141" s="107"/>
      <c r="AZ141" s="107"/>
      <c r="BA141" s="107"/>
      <c r="BB141" s="107"/>
      <c r="BC141" s="107"/>
    </row>
    <row r="142" spans="1:55" ht="25" customHeight="1" x14ac:dyDescent="0.35">
      <c r="A142" s="124" t="s">
        <v>31</v>
      </c>
      <c r="B142" s="126">
        <f>B143</f>
        <v>5.3093466162770699E-2</v>
      </c>
      <c r="C142" s="126">
        <f t="shared" ref="C142:G142" si="205">C143</f>
        <v>2.3920653442240401E-2</v>
      </c>
      <c r="D142" s="126">
        <f t="shared" si="205"/>
        <v>2.3931623931624003E-2</v>
      </c>
      <c r="E142" s="126">
        <f t="shared" si="205"/>
        <v>3.9271802210033201E-2</v>
      </c>
      <c r="F142" s="126">
        <f t="shared" si="205"/>
        <v>5.8211581121395496E-2</v>
      </c>
      <c r="G142" s="126">
        <f t="shared" si="205"/>
        <v>5.9780251554140899E-2</v>
      </c>
      <c r="H142" s="126">
        <f>H143</f>
        <v>3.3000000000000002E-2</v>
      </c>
      <c r="I142" s="126">
        <f>H142*(1-$B$15)</f>
        <v>3.2157173222703082E-2</v>
      </c>
      <c r="J142" s="126">
        <f>I142*(1-$B$15)</f>
        <v>3.1335872414391883E-2</v>
      </c>
      <c r="K142" s="126">
        <f>J142*(1-$B$15)</f>
        <v>3.0535547797397661E-2</v>
      </c>
      <c r="L142" s="126">
        <f>K142*(1-$B$15)</f>
        <v>2.9755663635486245E-2</v>
      </c>
      <c r="M142" s="126">
        <f>L142*(1-$B$15)</f>
        <v>2.8995697875236912E-2</v>
      </c>
      <c r="N142" s="126">
        <f t="shared" ref="N142:O142" si="206">M142*(1-$B$15)</f>
        <v>2.8255141796580518E-2</v>
      </c>
      <c r="O142" s="126">
        <f t="shared" si="206"/>
        <v>2.753349967226296E-2</v>
      </c>
      <c r="P142" s="299"/>
      <c r="Q142" s="299"/>
      <c r="R142" s="299"/>
      <c r="S142" s="299"/>
      <c r="T142" s="299"/>
      <c r="U142" s="299"/>
      <c r="V142" s="299"/>
      <c r="W142" s="299"/>
      <c r="X142" s="299"/>
      <c r="Y142" s="299"/>
      <c r="Z142" s="107"/>
      <c r="AA142" s="107"/>
      <c r="AB142" s="107"/>
      <c r="AC142" s="107"/>
      <c r="AD142" s="107"/>
      <c r="AE142" s="107"/>
      <c r="AF142" s="107"/>
      <c r="AG142" s="107"/>
      <c r="AH142" s="107"/>
      <c r="AI142" s="107"/>
      <c r="AJ142" s="107"/>
      <c r="AK142" s="107"/>
      <c r="AL142" s="107"/>
      <c r="AM142" s="107"/>
      <c r="AN142" s="107"/>
      <c r="AO142" s="107"/>
      <c r="AP142" s="107"/>
      <c r="AQ142" s="107"/>
      <c r="AR142" s="107"/>
      <c r="AS142" s="107"/>
      <c r="AT142" s="107"/>
      <c r="AU142" s="107"/>
      <c r="AV142" s="107"/>
      <c r="AW142" s="107"/>
      <c r="AX142" s="107"/>
      <c r="AY142" s="107"/>
      <c r="AZ142" s="107"/>
      <c r="BA142" s="107"/>
      <c r="BB142" s="107"/>
      <c r="BC142" s="107"/>
    </row>
    <row r="143" spans="1:55" ht="25" customHeight="1" x14ac:dyDescent="0.35">
      <c r="A143" s="124" t="s">
        <v>45</v>
      </c>
      <c r="B143" s="126">
        <v>5.3093466162770699E-2</v>
      </c>
      <c r="C143" s="126">
        <v>2.3920653442240401E-2</v>
      </c>
      <c r="D143" s="126">
        <v>2.3931623931624003E-2</v>
      </c>
      <c r="E143" s="126">
        <v>3.9271802210033201E-2</v>
      </c>
      <c r="F143" s="126">
        <v>5.8211581121395496E-2</v>
      </c>
      <c r="G143" s="126">
        <v>5.9780251554140899E-2</v>
      </c>
      <c r="H143" s="130">
        <v>3.3000000000000002E-2</v>
      </c>
      <c r="I143" s="130">
        <v>0.03</v>
      </c>
      <c r="J143" s="130">
        <v>0.03</v>
      </c>
      <c r="K143" s="130">
        <v>0.03</v>
      </c>
      <c r="L143" s="130">
        <v>0.03</v>
      </c>
      <c r="M143" s="127">
        <v>0.03</v>
      </c>
      <c r="N143" s="127">
        <v>0.03</v>
      </c>
      <c r="O143" s="127">
        <v>0.03</v>
      </c>
      <c r="P143" s="300"/>
      <c r="Q143" s="300"/>
      <c r="R143" s="300"/>
      <c r="S143" s="300"/>
      <c r="T143" s="300"/>
      <c r="U143" s="300"/>
      <c r="V143" s="300"/>
      <c r="W143" s="300"/>
      <c r="X143" s="300"/>
      <c r="Y143" s="300"/>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BB143" s="107"/>
      <c r="BC143" s="107"/>
    </row>
    <row r="144" spans="1:55" ht="25" customHeight="1" x14ac:dyDescent="0.35">
      <c r="A144" s="120" t="s">
        <v>46</v>
      </c>
      <c r="B144" s="277">
        <f>AVERAGE(C144:H144)</f>
        <v>2.5540205372633962E-2</v>
      </c>
      <c r="C144" s="277">
        <f>C143/B143-1</f>
        <v>-0.54946144655717288</v>
      </c>
      <c r="D144" s="277">
        <f t="shared" ref="D144:H144" si="207">D143/C143-1</f>
        <v>4.5861997081697581E-4</v>
      </c>
      <c r="E144" s="277">
        <f t="shared" si="207"/>
        <v>0.64100030663352525</v>
      </c>
      <c r="F144" s="277">
        <f t="shared" si="207"/>
        <v>0.48227424883810244</v>
      </c>
      <c r="G144" s="277">
        <f t="shared" si="207"/>
        <v>2.694773793335159E-2</v>
      </c>
      <c r="H144" s="277">
        <f t="shared" si="207"/>
        <v>-0.4479782345828196</v>
      </c>
      <c r="I144" s="121">
        <f t="shared" ref="I144:O144" si="208">I134*I141</f>
        <v>0</v>
      </c>
      <c r="J144" s="121">
        <f t="shared" si="208"/>
        <v>0</v>
      </c>
      <c r="K144" s="121">
        <f t="shared" si="208"/>
        <v>0</v>
      </c>
      <c r="L144" s="121">
        <f t="shared" si="208"/>
        <v>0</v>
      </c>
      <c r="M144" s="121">
        <f t="shared" si="208"/>
        <v>0</v>
      </c>
      <c r="N144" s="121">
        <f t="shared" si="208"/>
        <v>0</v>
      </c>
      <c r="O144" s="121">
        <f t="shared" si="208"/>
        <v>0</v>
      </c>
      <c r="P144" s="301"/>
      <c r="Q144" s="301"/>
      <c r="R144" s="301"/>
      <c r="S144" s="301"/>
      <c r="T144" s="301"/>
      <c r="U144" s="301"/>
      <c r="V144" s="301"/>
      <c r="W144" s="301"/>
      <c r="X144" s="301"/>
      <c r="Y144" s="301"/>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7"/>
      <c r="AU144" s="107"/>
      <c r="AV144" s="107"/>
      <c r="AW144" s="107"/>
      <c r="AX144" s="107"/>
      <c r="AY144" s="107"/>
      <c r="AZ144" s="107"/>
      <c r="BA144" s="107"/>
      <c r="BB144" s="107"/>
      <c r="BC144" s="107"/>
    </row>
    <row r="145" spans="1:55" ht="25" customHeight="1" x14ac:dyDescent="0.35">
      <c r="A145" s="235" t="str">
        <f>'[1]revenue breakdown'!T18</f>
        <v>Yoghurt and Sour Milk Products</v>
      </c>
      <c r="B145" s="235"/>
      <c r="C145" s="235"/>
      <c r="D145" s="235"/>
      <c r="E145" s="235"/>
      <c r="F145" s="235"/>
      <c r="G145" s="235"/>
      <c r="H145" s="235"/>
      <c r="I145" s="235"/>
      <c r="J145" s="235"/>
      <c r="K145" s="235"/>
      <c r="L145" s="235"/>
      <c r="M145" s="235"/>
      <c r="N145" s="235"/>
      <c r="O145" s="235"/>
      <c r="P145" s="304"/>
      <c r="Q145" s="304"/>
      <c r="R145" s="304"/>
      <c r="S145" s="304"/>
      <c r="T145" s="304"/>
      <c r="U145" s="304"/>
      <c r="V145" s="304"/>
      <c r="W145" s="304"/>
      <c r="X145" s="304"/>
      <c r="Y145" s="304"/>
      <c r="Z145" s="107"/>
      <c r="AA145" s="107"/>
      <c r="AB145" s="107"/>
      <c r="AC145" s="107"/>
      <c r="AD145" s="107"/>
      <c r="AE145" s="107"/>
      <c r="AF145" s="107"/>
      <c r="AG145" s="107"/>
      <c r="AH145" s="107"/>
      <c r="AI145" s="107"/>
      <c r="AJ145" s="107"/>
      <c r="AK145" s="107"/>
      <c r="AL145" s="107"/>
      <c r="AM145" s="107"/>
      <c r="AN145" s="107"/>
      <c r="AO145" s="107"/>
      <c r="AP145" s="107"/>
      <c r="AQ145" s="107"/>
      <c r="AR145" s="107"/>
      <c r="AS145" s="107"/>
      <c r="AT145" s="107"/>
      <c r="AU145" s="107"/>
      <c r="AV145" s="107"/>
      <c r="AW145" s="107"/>
      <c r="AX145" s="107"/>
      <c r="AY145" s="107"/>
      <c r="AZ145" s="107"/>
      <c r="BA145" s="107"/>
      <c r="BB145" s="107"/>
      <c r="BC145" s="107"/>
    </row>
    <row r="146" spans="1:55" ht="25" customHeight="1" x14ac:dyDescent="0.35">
      <c r="A146" s="120" t="s">
        <v>46</v>
      </c>
      <c r="B146" s="120"/>
      <c r="C146" s="120"/>
      <c r="D146" s="120"/>
      <c r="E146" s="120"/>
      <c r="F146" s="120"/>
      <c r="G146" s="120"/>
      <c r="H146" s="121">
        <f>'[1]revenue breakdown'!M19</f>
        <v>11034.082048659928</v>
      </c>
      <c r="I146" s="121">
        <f>'[1]revenue breakdown'!N19</f>
        <v>11732.844810173981</v>
      </c>
      <c r="J146" s="121">
        <f>'[1]revenue breakdown'!O19</f>
        <v>12763.144326237656</v>
      </c>
      <c r="K146" s="121">
        <f>'[1]revenue breakdown'!P19</f>
        <v>13328.998840893822</v>
      </c>
      <c r="L146" s="121">
        <f>'[1]revenue breakdown'!Q19</f>
        <v>13525.039909262496</v>
      </c>
      <c r="M146" s="121">
        <f>L146*(1+M147)</f>
        <v>13520.985532060004</v>
      </c>
      <c r="N146" s="121">
        <f>M146*(1+N147)</f>
        <v>11860.965261266008</v>
      </c>
      <c r="O146" s="121">
        <f>N146*(1+O147)</f>
        <v>5475.6470456218794</v>
      </c>
      <c r="P146" s="301"/>
      <c r="Q146" s="301"/>
      <c r="R146" s="301"/>
      <c r="S146" s="301"/>
      <c r="T146" s="301"/>
      <c r="U146" s="301"/>
      <c r="V146" s="301"/>
      <c r="W146" s="301"/>
      <c r="X146" s="301"/>
      <c r="Y146" s="301"/>
      <c r="Z146" s="107"/>
      <c r="AA146" s="107"/>
      <c r="AB146" s="107"/>
      <c r="AC146" s="107"/>
      <c r="AD146" s="107"/>
      <c r="AE146" s="107"/>
      <c r="AF146" s="107"/>
      <c r="AG146" s="107"/>
      <c r="AH146" s="107"/>
      <c r="AI146" s="107"/>
      <c r="AJ146" s="107"/>
      <c r="AK146" s="107"/>
      <c r="AL146" s="107"/>
      <c r="AM146" s="107"/>
      <c r="AN146" s="107"/>
      <c r="AO146" s="107"/>
      <c r="AP146" s="107"/>
      <c r="AQ146" s="107"/>
      <c r="AR146" s="107"/>
      <c r="AS146" s="107"/>
      <c r="AT146" s="107"/>
      <c r="AU146" s="107"/>
      <c r="AV146" s="107"/>
      <c r="AW146" s="107"/>
      <c r="AX146" s="107"/>
      <c r="AY146" s="107"/>
      <c r="AZ146" s="107"/>
      <c r="BA146" s="107"/>
      <c r="BB146" s="107"/>
      <c r="BC146" s="107"/>
    </row>
    <row r="147" spans="1:55" ht="25" customHeight="1" x14ac:dyDescent="0.35">
      <c r="A147" s="124" t="s">
        <v>31</v>
      </c>
      <c r="B147" s="124"/>
      <c r="C147" s="124"/>
      <c r="D147" s="124"/>
      <c r="E147" s="124"/>
      <c r="F147" s="124"/>
      <c r="G147" s="124"/>
      <c r="H147" s="124"/>
      <c r="I147" s="126">
        <f>I146/H146-1</f>
        <v>6.3327674964943403E-2</v>
      </c>
      <c r="J147" s="126">
        <f>J146/I146-1</f>
        <v>8.7813273995601238E-2</v>
      </c>
      <c r="K147" s="126">
        <f>K146/J146-1</f>
        <v>4.4335040033428141E-2</v>
      </c>
      <c r="L147" s="126">
        <f>L146/K146-1</f>
        <v>1.4707861461223271E-2</v>
      </c>
      <c r="M147" s="127">
        <f>((1+M149)*(1+M150)-1)*$H$148</f>
        <v>-2.9976822469234725E-4</v>
      </c>
      <c r="N147" s="127">
        <f>((1+N149)*(1+N150)-1)*$H$148</f>
        <v>-0.12277361490091615</v>
      </c>
      <c r="O147" s="127">
        <f>((1+O149)*(1+O150)-1)*$H$148</f>
        <v>-0.53834726558861679</v>
      </c>
      <c r="P147" s="300"/>
      <c r="Q147" s="300"/>
      <c r="R147" s="300"/>
      <c r="S147" s="300"/>
      <c r="T147" s="300"/>
      <c r="U147" s="300"/>
      <c r="V147" s="300"/>
      <c r="W147" s="300"/>
      <c r="X147" s="300"/>
      <c r="Y147" s="300"/>
      <c r="Z147" s="107"/>
      <c r="AA147" s="107"/>
      <c r="AB147" s="107"/>
      <c r="AC147" s="107"/>
      <c r="AD147" s="107"/>
      <c r="AE147" s="107"/>
      <c r="AF147" s="107"/>
      <c r="AG147" s="107"/>
      <c r="AH147" s="107"/>
      <c r="AI147" s="107"/>
      <c r="AJ147" s="107"/>
      <c r="AK147" s="107"/>
      <c r="AL147" s="107"/>
      <c r="AM147" s="107"/>
      <c r="AN147" s="107"/>
      <c r="AO147" s="107"/>
      <c r="AP147" s="107"/>
      <c r="AQ147" s="107"/>
      <c r="AR147" s="107"/>
      <c r="AS147" s="107"/>
      <c r="AT147" s="107"/>
      <c r="AU147" s="107"/>
      <c r="AV147" s="107"/>
      <c r="AW147" s="107"/>
      <c r="AX147" s="107"/>
      <c r="AY147" s="107"/>
      <c r="AZ147" s="107"/>
      <c r="BA147" s="107"/>
      <c r="BB147" s="107"/>
      <c r="BC147" s="107"/>
    </row>
    <row r="148" spans="1:55" ht="25" customHeight="1" x14ac:dyDescent="0.35">
      <c r="A148" s="124"/>
      <c r="B148" s="124"/>
      <c r="C148" s="124"/>
      <c r="D148" s="124"/>
      <c r="E148" s="124"/>
      <c r="F148" s="124"/>
      <c r="G148" s="124"/>
      <c r="H148" s="130">
        <f>AVERAGE(I148:L148)</f>
        <v>0.46795308464898339</v>
      </c>
      <c r="I148" s="130">
        <f>I147/I150</f>
        <v>0.42605180943732174</v>
      </c>
      <c r="J148" s="130">
        <f t="shared" ref="J148:L148" si="209">J147/J150</f>
        <v>0.75793487079492783</v>
      </c>
      <c r="K148" s="130">
        <f t="shared" si="209"/>
        <v>0.51248327948096661</v>
      </c>
      <c r="L148" s="130">
        <f t="shared" si="209"/>
        <v>0.17534237888271728</v>
      </c>
      <c r="M148" s="127"/>
      <c r="N148" s="127"/>
      <c r="O148" s="127"/>
      <c r="P148" s="300"/>
      <c r="Q148" s="300"/>
      <c r="R148" s="300"/>
      <c r="S148" s="300"/>
      <c r="T148" s="300"/>
      <c r="U148" s="300"/>
      <c r="V148" s="300"/>
      <c r="W148" s="300"/>
      <c r="X148" s="300"/>
      <c r="Y148" s="300"/>
      <c r="Z148" s="107"/>
      <c r="AA148" s="107"/>
      <c r="AB148" s="107"/>
      <c r="AC148" s="107"/>
      <c r="AD148" s="107"/>
      <c r="AE148" s="107"/>
      <c r="AF148" s="107"/>
      <c r="AG148" s="107"/>
      <c r="AH148" s="107"/>
      <c r="AI148" s="107"/>
      <c r="AJ148" s="107"/>
      <c r="AK148" s="107"/>
      <c r="AL148" s="107"/>
      <c r="AM148" s="107"/>
      <c r="AN148" s="107"/>
      <c r="AO148" s="107"/>
      <c r="AP148" s="107"/>
      <c r="AQ148" s="107"/>
      <c r="AR148" s="107"/>
      <c r="AS148" s="107"/>
      <c r="AT148" s="107"/>
      <c r="AU148" s="107"/>
      <c r="AV148" s="107"/>
      <c r="AW148" s="107"/>
      <c r="AX148" s="107"/>
      <c r="AY148" s="107"/>
      <c r="AZ148" s="107"/>
      <c r="BA148" s="107"/>
      <c r="BB148" s="107"/>
      <c r="BC148" s="107"/>
    </row>
    <row r="149" spans="1:55" ht="25" customHeight="1" x14ac:dyDescent="0.35">
      <c r="A149" s="124" t="s">
        <v>105</v>
      </c>
      <c r="B149" s="124"/>
      <c r="C149" s="124"/>
      <c r="D149" s="124"/>
      <c r="E149" s="124"/>
      <c r="F149" s="124"/>
      <c r="G149" s="124"/>
      <c r="H149" s="124"/>
      <c r="I149" s="126">
        <f>'[1]yogurt and sour milk'!G62/'[1]yogurt and sour milk'!F62-1</f>
        <v>-3.4111310592459754E-2</v>
      </c>
      <c r="J149" s="126">
        <f>'[1]yogurt and sour milk'!H62/'[1]yogurt and sour milk'!G62-1</f>
        <v>-2.0446096654274992E-2</v>
      </c>
      <c r="K149" s="126">
        <f>'[1]yogurt and sour milk'!I62/'[1]yogurt and sour milk'!H62-1</f>
        <v>-2.0872865275142316E-2</v>
      </c>
      <c r="L149" s="126">
        <f>'[1]yogurt and sour milk'!J62/'[1]yogurt and sour milk'!I62-1</f>
        <v>-2.9069767441860517E-2</v>
      </c>
      <c r="M149" s="127">
        <f>L149*(1+$AD$19)</f>
        <v>-9.8638441661697857E-2</v>
      </c>
      <c r="N149" s="127">
        <f>M149*(1+$AD$19)</f>
        <v>-0.33469625076661652</v>
      </c>
      <c r="O149" s="127">
        <f>N149*(1+$AD$19)</f>
        <v>-1.1356787312337353</v>
      </c>
      <c r="P149" s="300"/>
      <c r="Q149" s="300"/>
      <c r="R149" s="300"/>
      <c r="S149" s="300"/>
      <c r="T149" s="300"/>
      <c r="U149" s="300"/>
      <c r="V149" s="300"/>
      <c r="W149" s="300"/>
      <c r="X149" s="300"/>
      <c r="Y149" s="300"/>
      <c r="Z149" s="107"/>
      <c r="AA149" s="107"/>
      <c r="AB149" s="107"/>
      <c r="AC149" s="107"/>
      <c r="AD149" s="107"/>
      <c r="AE149" s="107"/>
      <c r="AF149" s="107"/>
      <c r="AG149" s="107"/>
      <c r="AH149" s="107"/>
      <c r="AI149" s="107"/>
      <c r="AJ149" s="107"/>
      <c r="AK149" s="107"/>
      <c r="AL149" s="107"/>
      <c r="AM149" s="107"/>
      <c r="AN149" s="107"/>
      <c r="AO149" s="107"/>
      <c r="AP149" s="107"/>
      <c r="AQ149" s="107"/>
      <c r="AR149" s="107"/>
      <c r="AS149" s="107"/>
      <c r="AT149" s="107"/>
      <c r="AU149" s="107"/>
      <c r="AV149" s="107"/>
      <c r="AW149" s="107"/>
      <c r="AX149" s="107"/>
      <c r="AY149" s="107"/>
      <c r="AZ149" s="107"/>
      <c r="BA149" s="107"/>
      <c r="BB149" s="107"/>
      <c r="BC149" s="107"/>
    </row>
    <row r="150" spans="1:55" ht="25" customHeight="1" x14ac:dyDescent="0.35">
      <c r="A150" s="124" t="s">
        <v>37</v>
      </c>
      <c r="B150" s="124"/>
      <c r="C150" s="124"/>
      <c r="D150" s="124"/>
      <c r="E150" s="124"/>
      <c r="F150" s="124"/>
      <c r="G150" s="124"/>
      <c r="H150" s="124"/>
      <c r="I150" s="126">
        <f>'[1]yogurt and sour milk'!G59/'[1]yogurt and sour milk'!F59-1</f>
        <v>0.14863843683372457</v>
      </c>
      <c r="J150" s="126">
        <f>'[1]yogurt and sour milk'!H59/'[1]yogurt and sour milk'!G59-1</f>
        <v>0.11585860128522918</v>
      </c>
      <c r="K150" s="126">
        <f>'[1]yogurt and sour milk'!I59/'[1]yogurt and sour milk'!H59-1</f>
        <v>8.6510217617889573E-2</v>
      </c>
      <c r="L150" s="126">
        <f>'[1]yogurt and sour milk'!J59/'[1]yogurt and sour milk'!I59-1</f>
        <v>8.3880813953488342E-2</v>
      </c>
      <c r="M150" s="127">
        <f>$AD$20</f>
        <v>0.10872201742258292</v>
      </c>
      <c r="N150" s="127">
        <f>$AD$20</f>
        <v>0.10872201742258292</v>
      </c>
      <c r="O150" s="127">
        <f>$AD$20</f>
        <v>0.10872201742258292</v>
      </c>
      <c r="P150" s="300"/>
      <c r="Q150" s="300"/>
      <c r="R150" s="300"/>
      <c r="S150" s="300"/>
      <c r="T150" s="300"/>
      <c r="U150" s="300"/>
      <c r="V150" s="300"/>
      <c r="W150" s="300"/>
      <c r="X150" s="300"/>
      <c r="Y150" s="300"/>
      <c r="Z150" s="107"/>
      <c r="AA150" s="107"/>
      <c r="AB150" s="107"/>
      <c r="AC150" s="107"/>
      <c r="AD150" s="107"/>
      <c r="AE150" s="107"/>
      <c r="AF150" s="107"/>
      <c r="AG150" s="107"/>
      <c r="AH150" s="107"/>
      <c r="AI150" s="107"/>
      <c r="AJ150" s="107"/>
      <c r="AK150" s="107"/>
      <c r="AL150" s="107"/>
      <c r="AM150" s="107"/>
      <c r="AN150" s="107"/>
      <c r="AO150" s="107"/>
      <c r="AP150" s="107"/>
      <c r="AQ150" s="107"/>
      <c r="AR150" s="107"/>
      <c r="AS150" s="107"/>
      <c r="AT150" s="107"/>
      <c r="AU150" s="107"/>
      <c r="AV150" s="107"/>
      <c r="AW150" s="107"/>
      <c r="AX150" s="107"/>
      <c r="AY150" s="107"/>
      <c r="AZ150" s="107"/>
      <c r="BA150" s="107"/>
      <c r="BB150" s="107"/>
      <c r="BC150" s="107"/>
    </row>
    <row r="151" spans="1:55" ht="25" customHeight="1" x14ac:dyDescent="0.35">
      <c r="A151" s="124" t="s">
        <v>106</v>
      </c>
      <c r="B151" s="124"/>
      <c r="C151" s="124"/>
      <c r="D151" s="124"/>
      <c r="E151" s="124"/>
      <c r="F151" s="124"/>
      <c r="G151" s="124"/>
      <c r="H151" s="126" t="e">
        <f t="shared" ref="H151:O151" si="210">H146/H3</f>
        <v>#DIV/0!</v>
      </c>
      <c r="I151" s="126">
        <f t="shared" si="210"/>
        <v>5.6502613891212193E-6</v>
      </c>
      <c r="J151" s="126">
        <f t="shared" si="210"/>
        <v>6.1656812839839483E-6</v>
      </c>
      <c r="K151" s="126">
        <f t="shared" si="210"/>
        <v>6.4397609316217988E-6</v>
      </c>
      <c r="L151" s="126">
        <f t="shared" si="210"/>
        <v>6.6492609338206907E-6</v>
      </c>
      <c r="M151" s="126">
        <f t="shared" si="210"/>
        <v>6.723693605499426E-6</v>
      </c>
      <c r="N151" s="126">
        <f t="shared" si="210"/>
        <v>5.9251080924898709E-6</v>
      </c>
      <c r="O151" s="126">
        <f t="shared" si="210"/>
        <v>2.7252791994912876E-6</v>
      </c>
      <c r="P151" s="299"/>
      <c r="Q151" s="299"/>
      <c r="R151" s="299"/>
      <c r="S151" s="299"/>
      <c r="T151" s="299"/>
      <c r="U151" s="299"/>
      <c r="V151" s="299"/>
      <c r="W151" s="299"/>
      <c r="X151" s="299"/>
      <c r="Y151" s="299"/>
      <c r="Z151" s="107"/>
      <c r="AA151" s="107"/>
      <c r="AB151" s="107"/>
      <c r="AC151" s="107"/>
      <c r="AD151" s="107"/>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row>
    <row r="152" spans="1:55" ht="25" customHeight="1" x14ac:dyDescent="0.35">
      <c r="A152" s="235" t="str">
        <f>'[1]revenue breakdown'!T19</f>
        <v>Condensed milk</v>
      </c>
      <c r="B152" s="235"/>
      <c r="C152" s="235"/>
      <c r="D152" s="235"/>
      <c r="E152" s="235"/>
      <c r="F152" s="235"/>
      <c r="G152" s="235"/>
      <c r="H152" s="235"/>
      <c r="I152" s="235"/>
      <c r="J152" s="235"/>
      <c r="K152" s="235"/>
      <c r="L152" s="235"/>
      <c r="M152" s="235"/>
      <c r="N152" s="235"/>
      <c r="O152" s="235"/>
      <c r="P152" s="304"/>
      <c r="Q152" s="304"/>
      <c r="R152" s="304"/>
      <c r="S152" s="304"/>
      <c r="T152" s="304"/>
      <c r="U152" s="304"/>
      <c r="V152" s="304"/>
      <c r="W152" s="304"/>
      <c r="X152" s="304"/>
      <c r="Y152" s="304"/>
      <c r="Z152" s="107"/>
      <c r="AA152" s="107"/>
      <c r="AB152" s="107"/>
      <c r="AC152" s="107"/>
      <c r="AD152" s="107"/>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row>
    <row r="153" spans="1:55" ht="25" customHeight="1" x14ac:dyDescent="0.35">
      <c r="A153" s="120" t="s">
        <v>46</v>
      </c>
      <c r="B153" s="120"/>
      <c r="C153" s="120"/>
      <c r="D153" s="120"/>
      <c r="E153" s="120"/>
      <c r="F153" s="120"/>
      <c r="G153" s="120"/>
      <c r="H153" s="121">
        <f>'[1]revenue breakdown'!M20</f>
        <v>6642.0427505041298</v>
      </c>
      <c r="I153" s="121">
        <f>'[1]revenue breakdown'!N20</f>
        <v>6822.8857545156197</v>
      </c>
      <c r="J153" s="121">
        <f>'[1]revenue breakdown'!O20</f>
        <v>7298.1950856699314</v>
      </c>
      <c r="K153" s="121">
        <f>'[1]revenue breakdown'!P20</f>
        <v>7294.6848471825779</v>
      </c>
      <c r="L153" s="121">
        <f>'[1]revenue breakdown'!Q20</f>
        <v>7417.1671480160494</v>
      </c>
      <c r="M153" s="121">
        <f>L153*(1+M154)</f>
        <v>7884.1433270433436</v>
      </c>
      <c r="N153" s="121">
        <f>M153*(1+N154)</f>
        <v>8380.7059945007022</v>
      </c>
      <c r="O153" s="121">
        <f>N153*(1+O154)</f>
        <v>8908.7431290293898</v>
      </c>
      <c r="P153" s="301"/>
      <c r="Q153" s="301"/>
      <c r="R153" s="301"/>
      <c r="S153" s="301"/>
      <c r="T153" s="301"/>
      <c r="U153" s="301"/>
      <c r="V153" s="301"/>
      <c r="W153" s="301"/>
      <c r="X153" s="301"/>
      <c r="Y153" s="301"/>
      <c r="Z153" s="107"/>
      <c r="AA153" s="107"/>
      <c r="AB153" s="107"/>
      <c r="AC153" s="107"/>
      <c r="AD153" s="107"/>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row>
    <row r="154" spans="1:55" ht="25" customHeight="1" x14ac:dyDescent="0.35">
      <c r="A154" s="124" t="s">
        <v>31</v>
      </c>
      <c r="B154" s="124"/>
      <c r="C154" s="124"/>
      <c r="D154" s="124"/>
      <c r="E154" s="124"/>
      <c r="F154" s="124"/>
      <c r="G154" s="124"/>
      <c r="H154" s="124"/>
      <c r="I154" s="126">
        <f>I153/H153-1</f>
        <v>2.7227015965497037E-2</v>
      </c>
      <c r="J154" s="126">
        <f>J153/I153-1</f>
        <v>6.9663973317996009E-2</v>
      </c>
      <c r="K154" s="126">
        <f>K153/J153-1</f>
        <v>-4.8097350730536004E-4</v>
      </c>
      <c r="L154" s="126">
        <f>L153/K153-1</f>
        <v>1.6790622679302869E-2</v>
      </c>
      <c r="M154" s="127">
        <f>(1+M155)*(1+M156)-1</f>
        <v>6.2958831816565031E-2</v>
      </c>
      <c r="N154" s="127">
        <f>(1+N155)*(1+N156)-1</f>
        <v>6.2982450579519789E-2</v>
      </c>
      <c r="O154" s="127">
        <f>(1+O155)*(1+O156)-1</f>
        <v>6.3006283107315486E-2</v>
      </c>
      <c r="P154" s="300"/>
      <c r="Q154" s="300"/>
      <c r="R154" s="300"/>
      <c r="S154" s="300"/>
      <c r="T154" s="300"/>
      <c r="U154" s="300"/>
      <c r="V154" s="300"/>
      <c r="W154" s="300"/>
      <c r="X154" s="300"/>
      <c r="Y154" s="300"/>
      <c r="Z154" s="107"/>
      <c r="AA154" s="107"/>
      <c r="AB154" s="107"/>
      <c r="AC154" s="107"/>
      <c r="AD154" s="107"/>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row>
    <row r="155" spans="1:55" ht="25" customHeight="1" x14ac:dyDescent="0.35">
      <c r="A155" s="124" t="s">
        <v>105</v>
      </c>
      <c r="B155" s="124"/>
      <c r="C155" s="124"/>
      <c r="D155" s="124"/>
      <c r="E155" s="124"/>
      <c r="F155" s="124"/>
      <c r="G155" s="124"/>
      <c r="H155" s="124"/>
      <c r="I155" s="126">
        <f>'[1]Condensed milk'!E7/'[1]Condensed milk'!D7-1</f>
        <v>6.3051702395964249E-3</v>
      </c>
      <c r="J155" s="126">
        <f>'[1]Condensed milk'!F7/'[1]Condensed milk'!E7-1</f>
        <v>2.2556390977443552E-2</v>
      </c>
      <c r="K155" s="126">
        <f>'[1]Condensed milk'!G7/'[1]Condensed milk'!F7-1</f>
        <v>4.9019607843137081E-3</v>
      </c>
      <c r="L155" s="126">
        <f>'[1]Condensed milk'!H7/'[1]Condensed milk'!G7-1</f>
        <v>2.4390243902439046E-3</v>
      </c>
      <c r="M155" s="137">
        <f>L155*(1+$AD$25)</f>
        <v>2.4610991136534157E-3</v>
      </c>
      <c r="N155" s="137">
        <f>M155*(1+$AD$25)</f>
        <v>2.4833736273625054E-3</v>
      </c>
      <c r="O155" s="137">
        <f>N155*(1+$AD$25)</f>
        <v>2.505849739600571E-3</v>
      </c>
      <c r="P155" s="305"/>
      <c r="Q155" s="305"/>
      <c r="R155" s="305"/>
      <c r="S155" s="305"/>
      <c r="T155" s="305"/>
      <c r="U155" s="305"/>
      <c r="V155" s="305"/>
      <c r="W155" s="305"/>
      <c r="X155" s="305"/>
      <c r="Y155" s="305"/>
      <c r="Z155" s="107"/>
      <c r="AA155" s="107"/>
      <c r="AB155" s="107"/>
      <c r="AC155" s="107"/>
      <c r="AD155" s="107"/>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row>
    <row r="156" spans="1:55" ht="18" customHeight="1" x14ac:dyDescent="0.35">
      <c r="A156" s="124" t="s">
        <v>37</v>
      </c>
      <c r="B156" s="124"/>
      <c r="C156" s="124"/>
      <c r="D156" s="124"/>
      <c r="E156" s="124"/>
      <c r="F156" s="124"/>
      <c r="G156" s="124"/>
      <c r="H156" s="124"/>
      <c r="I156" s="126">
        <f>'[1]Condensed milk'!O71/'[1]Condensed milk'!N71-1</f>
        <v>8.9482928387045302E-2</v>
      </c>
      <c r="J156" s="126">
        <f>'[1]Condensed milk'!P71/'[1]Condensed milk'!O71-1</f>
        <v>6.978590358944281E-2</v>
      </c>
      <c r="K156" s="126">
        <f>'[1]Condensed milk'!Q71/'[1]Condensed milk'!P71-1</f>
        <v>3.0093728950943532E-2</v>
      </c>
      <c r="L156" s="126">
        <f>'[1]Condensed milk'!R71/'[1]Condensed milk'!Q71-1</f>
        <v>5.2034268361613289E-2</v>
      </c>
      <c r="M156" s="127">
        <f>$AD$26</f>
        <v>6.0349207322261234E-2</v>
      </c>
      <c r="N156" s="127">
        <f>$AD$26</f>
        <v>6.0349207322261234E-2</v>
      </c>
      <c r="O156" s="127">
        <f>$AD$26</f>
        <v>6.0349207322261234E-2</v>
      </c>
      <c r="P156" s="300"/>
      <c r="Q156" s="300"/>
      <c r="R156" s="300"/>
      <c r="S156" s="300"/>
      <c r="T156" s="300"/>
      <c r="U156" s="300"/>
      <c r="V156" s="300"/>
      <c r="W156" s="300"/>
      <c r="X156" s="300"/>
      <c r="Y156" s="300"/>
      <c r="Z156" s="107"/>
      <c r="AA156" s="107"/>
      <c r="AB156" s="107"/>
      <c r="AC156" s="107"/>
      <c r="AD156" s="107"/>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row>
    <row r="157" spans="1:55" ht="18" customHeight="1" x14ac:dyDescent="0.35">
      <c r="A157" s="124" t="s">
        <v>106</v>
      </c>
      <c r="B157" s="124"/>
      <c r="C157" s="124"/>
      <c r="D157" s="124"/>
      <c r="E157" s="124"/>
      <c r="F157" s="124"/>
      <c r="G157" s="124"/>
      <c r="H157" s="126" t="e">
        <f t="shared" ref="H157:O157" si="211">H153/H3</f>
        <v>#DIV/0!</v>
      </c>
      <c r="I157" s="126">
        <f t="shared" si="211"/>
        <v>3.2857408893447341E-6</v>
      </c>
      <c r="J157" s="126">
        <f t="shared" si="211"/>
        <v>3.5256472618643044E-6</v>
      </c>
      <c r="K157" s="126">
        <f t="shared" si="211"/>
        <v>3.5243477059399122E-6</v>
      </c>
      <c r="L157" s="126">
        <f t="shared" si="211"/>
        <v>3.6464720317125212E-6</v>
      </c>
      <c r="M157" s="126">
        <f t="shared" si="211"/>
        <v>3.9206139187995873E-6</v>
      </c>
      <c r="N157" s="126">
        <f t="shared" si="211"/>
        <v>4.1865554628135102E-6</v>
      </c>
      <c r="O157" s="126">
        <f t="shared" si="211"/>
        <v>4.4339622588653055E-6</v>
      </c>
      <c r="P157" s="299"/>
      <c r="Q157" s="299"/>
      <c r="R157" s="299"/>
      <c r="S157" s="299"/>
      <c r="T157" s="299"/>
      <c r="U157" s="299"/>
      <c r="V157" s="299"/>
      <c r="W157" s="299"/>
      <c r="X157" s="299"/>
      <c r="Y157" s="299"/>
      <c r="Z157" s="107"/>
      <c r="AA157" s="107"/>
      <c r="AB157" s="107"/>
      <c r="AC157" s="107"/>
      <c r="AD157" s="107"/>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row>
    <row r="158" spans="1:55" ht="18" customHeight="1" x14ac:dyDescent="0.35">
      <c r="A158" s="235" t="str">
        <f>'[1]revenue breakdown'!T20</f>
        <v>Plant-based and other dairy</v>
      </c>
      <c r="B158" s="235"/>
      <c r="C158" s="235"/>
      <c r="D158" s="235"/>
      <c r="E158" s="235"/>
      <c r="F158" s="235"/>
      <c r="G158" s="235"/>
      <c r="H158" s="235"/>
      <c r="I158" s="235"/>
      <c r="J158" s="235"/>
      <c r="K158" s="235"/>
      <c r="L158" s="235"/>
      <c r="M158" s="235"/>
      <c r="N158" s="235"/>
      <c r="O158" s="235"/>
      <c r="P158" s="304"/>
      <c r="Q158" s="304"/>
      <c r="R158" s="304"/>
      <c r="S158" s="304"/>
      <c r="T158" s="304"/>
      <c r="U158" s="304"/>
      <c r="V158" s="304"/>
      <c r="W158" s="304"/>
      <c r="X158" s="304"/>
      <c r="Y158" s="304"/>
      <c r="Z158" s="107"/>
      <c r="AA158" s="107"/>
      <c r="AB158" s="107"/>
      <c r="AC158" s="107"/>
      <c r="AD158" s="107"/>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row>
    <row r="159" spans="1:55" ht="18" customHeight="1" x14ac:dyDescent="0.35">
      <c r="A159" s="120" t="s">
        <v>46</v>
      </c>
      <c r="B159" s="120"/>
      <c r="C159" s="120"/>
      <c r="D159" s="120"/>
      <c r="E159" s="120"/>
      <c r="F159" s="120"/>
      <c r="G159" s="120"/>
      <c r="H159" s="121">
        <f>'[1]revenue breakdown'!M21</f>
        <v>1612.1912267004036</v>
      </c>
      <c r="I159" s="121">
        <f>'[1]revenue breakdown'!N21</f>
        <v>1617.6187381390573</v>
      </c>
      <c r="J159" s="121">
        <f>'[1]revenue breakdown'!O21</f>
        <v>1672.6728445603449</v>
      </c>
      <c r="K159" s="121">
        <f>'[1]revenue breakdown'!P21</f>
        <v>1649.7534702847379</v>
      </c>
      <c r="L159" s="121">
        <f>'[1]revenue breakdown'!Q21</f>
        <v>1629.8683661558553</v>
      </c>
      <c r="M159" s="121">
        <f>L159*(1+$AD$29)</f>
        <v>1623.7842233076244</v>
      </c>
      <c r="N159" s="121">
        <f>M159*(1+$AD$29)</f>
        <v>1617.7227919831989</v>
      </c>
      <c r="O159" s="121">
        <f>N159*(1+$AD$29)</f>
        <v>1611.6839874026311</v>
      </c>
      <c r="P159" s="301"/>
      <c r="Q159" s="301"/>
      <c r="R159" s="301"/>
      <c r="S159" s="301"/>
      <c r="T159" s="301"/>
      <c r="U159" s="301"/>
      <c r="V159" s="301"/>
      <c r="W159" s="301"/>
      <c r="X159" s="301"/>
      <c r="Y159" s="301"/>
      <c r="Z159" s="107"/>
      <c r="AA159" s="107"/>
      <c r="AB159" s="107"/>
      <c r="AC159" s="107"/>
      <c r="AD159" s="107"/>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row>
    <row r="160" spans="1:55" ht="18" customHeight="1" x14ac:dyDescent="0.35">
      <c r="A160" s="124" t="s">
        <v>106</v>
      </c>
      <c r="B160" s="124"/>
      <c r="C160" s="124"/>
      <c r="D160" s="124"/>
      <c r="E160" s="124"/>
      <c r="F160" s="124"/>
      <c r="G160" s="124"/>
      <c r="H160" s="126" t="e">
        <f t="shared" ref="H160:O160" si="212">H159/H3</f>
        <v>#DIV/0!</v>
      </c>
      <c r="I160" s="126">
        <f t="shared" si="212"/>
        <v>7.7900703932438449E-7</v>
      </c>
      <c r="J160" s="126">
        <f t="shared" si="212"/>
        <v>8.0804286062430232E-7</v>
      </c>
      <c r="K160" s="126">
        <f t="shared" si="212"/>
        <v>7.9706045979629693E-7</v>
      </c>
      <c r="L160" s="126">
        <f t="shared" si="212"/>
        <v>8.0128562481567103E-7</v>
      </c>
      <c r="M160" s="126">
        <f t="shared" si="212"/>
        <v>8.0747276691308827E-7</v>
      </c>
      <c r="N160" s="126">
        <f t="shared" si="212"/>
        <v>8.0812836013330192E-7</v>
      </c>
      <c r="O160" s="126">
        <f t="shared" si="212"/>
        <v>8.021497387296863E-7</v>
      </c>
      <c r="P160" s="299"/>
      <c r="Q160" s="299"/>
      <c r="R160" s="299"/>
      <c r="S160" s="299"/>
      <c r="T160" s="299"/>
      <c r="U160" s="299"/>
      <c r="V160" s="299"/>
      <c r="W160" s="299"/>
      <c r="X160" s="299"/>
      <c r="Y160" s="299"/>
      <c r="Z160" s="107"/>
      <c r="AA160" s="107"/>
      <c r="AB160" s="107"/>
      <c r="AC160" s="107"/>
      <c r="AD160" s="107"/>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row>
    <row r="161" spans="1:55" ht="18" customHeight="1" x14ac:dyDescent="0.35">
      <c r="A161" s="235" t="s">
        <v>107</v>
      </c>
      <c r="B161" s="235"/>
      <c r="C161" s="235"/>
      <c r="D161" s="235"/>
      <c r="E161" s="235"/>
      <c r="F161" s="235"/>
      <c r="G161" s="235"/>
      <c r="H161" s="235"/>
      <c r="I161" s="235"/>
      <c r="J161" s="235"/>
      <c r="K161" s="235"/>
      <c r="L161" s="235"/>
      <c r="M161" s="235"/>
      <c r="N161" s="235"/>
      <c r="O161" s="235"/>
      <c r="P161" s="304"/>
      <c r="Q161" s="304"/>
      <c r="R161" s="304"/>
      <c r="S161" s="304"/>
      <c r="T161" s="304"/>
      <c r="U161" s="304"/>
      <c r="V161" s="304"/>
      <c r="W161" s="304"/>
      <c r="X161" s="304"/>
      <c r="Y161" s="304"/>
      <c r="Z161" s="107"/>
      <c r="AA161" s="107"/>
      <c r="AB161" s="107"/>
      <c r="AC161" s="107"/>
      <c r="AD161" s="107"/>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row>
    <row r="162" spans="1:55" ht="18" customHeight="1" x14ac:dyDescent="0.35">
      <c r="A162" s="120" t="s">
        <v>46</v>
      </c>
      <c r="B162" s="120"/>
      <c r="C162" s="120"/>
      <c r="D162" s="120"/>
      <c r="E162" s="120"/>
      <c r="F162" s="120"/>
      <c r="G162" s="120"/>
      <c r="H162" s="139">
        <f>'[1]revenue breakdown'!M22</f>
        <v>3942.1462500000052</v>
      </c>
      <c r="I162" s="139">
        <f>'[1]revenue breakdown'!N22</f>
        <v>4505.4498400000011</v>
      </c>
      <c r="J162" s="139">
        <f>'[1]revenue breakdown'!O22</f>
        <v>4472.7214500000046</v>
      </c>
      <c r="K162" s="139">
        <f>'[1]revenue breakdown'!P22</f>
        <v>4873.533199999998</v>
      </c>
      <c r="L162" s="139">
        <f>'[1]revenue breakdown'!Q22</f>
        <v>4496.7185250000184</v>
      </c>
      <c r="M162" s="121">
        <f>AVERAGE($H$162:$L$162)</f>
        <v>4458.1138530000053</v>
      </c>
      <c r="N162" s="121">
        <f>AVERAGE($H$162:$L$162)</f>
        <v>4458.1138530000053</v>
      </c>
      <c r="O162" s="121">
        <f>AVERAGE($H$162:$L$162)</f>
        <v>4458.1138530000053</v>
      </c>
      <c r="P162" s="301"/>
      <c r="Q162" s="301"/>
      <c r="R162" s="301"/>
      <c r="S162" s="301"/>
      <c r="T162" s="301"/>
      <c r="U162" s="301"/>
      <c r="V162" s="301"/>
      <c r="W162" s="301"/>
      <c r="X162" s="301"/>
      <c r="Y162" s="301"/>
      <c r="Z162" s="107"/>
      <c r="AA162" s="107"/>
      <c r="AB162" s="107"/>
      <c r="AC162" s="107"/>
      <c r="AD162" s="107"/>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row>
    <row r="163" spans="1:55" ht="18" customHeight="1" x14ac:dyDescent="0.35">
      <c r="A163" s="124" t="s">
        <v>31</v>
      </c>
      <c r="B163" s="124"/>
      <c r="C163" s="124"/>
      <c r="D163" s="124"/>
      <c r="E163" s="124"/>
      <c r="F163" s="124"/>
      <c r="G163" s="124"/>
      <c r="H163" s="124"/>
      <c r="I163" s="126">
        <f>I162/H162-1</f>
        <v>0.14289261591956293</v>
      </c>
      <c r="J163" s="126">
        <f t="shared" ref="J163:L163" si="213">J162/I162-1</f>
        <v>-7.2641780870423833E-3</v>
      </c>
      <c r="K163" s="126">
        <f t="shared" si="213"/>
        <v>8.9612499790254763E-2</v>
      </c>
      <c r="L163" s="126">
        <f t="shared" si="213"/>
        <v>-7.7318581722184643E-2</v>
      </c>
      <c r="M163" s="127">
        <f>$AD$41</f>
        <v>3.6980588975147666E-2</v>
      </c>
      <c r="N163" s="127">
        <f>$AD$41</f>
        <v>3.6980588975147666E-2</v>
      </c>
      <c r="O163" s="127">
        <f>$AD$41</f>
        <v>3.6980588975147666E-2</v>
      </c>
      <c r="P163" s="300"/>
      <c r="Q163" s="300"/>
      <c r="R163" s="300"/>
      <c r="S163" s="300"/>
      <c r="T163" s="300"/>
      <c r="U163" s="300"/>
      <c r="V163" s="300"/>
      <c r="W163" s="300"/>
      <c r="X163" s="300"/>
      <c r="Y163" s="300"/>
      <c r="Z163" s="206"/>
      <c r="AA163" s="206"/>
      <c r="AB163" s="107"/>
      <c r="AC163" s="107"/>
      <c r="AD163" s="107"/>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row>
    <row r="164" spans="1:55" ht="18" customHeight="1" x14ac:dyDescent="0.35">
      <c r="A164" s="124" t="s">
        <v>106</v>
      </c>
      <c r="B164" s="124"/>
      <c r="C164" s="124"/>
      <c r="D164" s="124"/>
      <c r="E164" s="124"/>
      <c r="F164" s="124"/>
      <c r="G164" s="124"/>
      <c r="H164" s="126" t="e">
        <f t="shared" ref="H164:O164" si="214">H162/H3</f>
        <v>#DIV/0!</v>
      </c>
      <c r="I164" s="126">
        <f t="shared" si="214"/>
        <v>2.1697184002212069E-6</v>
      </c>
      <c r="J164" s="126">
        <f t="shared" si="214"/>
        <v>2.1607038381636701E-6</v>
      </c>
      <c r="K164" s="126">
        <f t="shared" si="214"/>
        <v>2.3545946004611673E-6</v>
      </c>
      <c r="L164" s="126">
        <f t="shared" si="214"/>
        <v>2.2107036296575947E-6</v>
      </c>
      <c r="M164" s="126">
        <f t="shared" si="214"/>
        <v>2.2169235766823332E-6</v>
      </c>
      <c r="N164" s="126">
        <f t="shared" si="214"/>
        <v>2.2270368292801224E-6</v>
      </c>
      <c r="O164" s="126">
        <f t="shared" si="214"/>
        <v>2.218843700354872E-6</v>
      </c>
      <c r="P164" s="299"/>
      <c r="Q164" s="299"/>
      <c r="R164" s="299"/>
      <c r="S164" s="299"/>
      <c r="T164" s="299"/>
      <c r="U164" s="299"/>
      <c r="V164" s="299"/>
      <c r="W164" s="299"/>
      <c r="X164" s="299"/>
      <c r="Y164" s="299"/>
      <c r="Z164" s="206"/>
      <c r="AA164" s="206"/>
      <c r="AB164" s="107"/>
      <c r="AC164" s="107"/>
      <c r="AD164" s="107"/>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row>
    <row r="165" spans="1:55" ht="18" customHeight="1" x14ac:dyDescent="0.35">
      <c r="A165" s="124"/>
      <c r="B165" s="124"/>
      <c r="C165" s="124"/>
      <c r="D165" s="124"/>
      <c r="E165" s="124"/>
      <c r="F165" s="124"/>
      <c r="G165" s="124"/>
      <c r="H165" s="124"/>
      <c r="I165" s="124"/>
      <c r="J165" s="124"/>
      <c r="K165" s="124"/>
      <c r="L165" s="124"/>
      <c r="M165" s="124">
        <f>M162/M3</f>
        <v>2.2169235766823332E-6</v>
      </c>
      <c r="N165" s="124"/>
      <c r="O165" s="124"/>
      <c r="P165" s="303"/>
      <c r="Q165" s="303"/>
      <c r="R165" s="303"/>
      <c r="S165" s="303"/>
      <c r="T165" s="303"/>
      <c r="U165" s="303"/>
      <c r="V165" s="303"/>
      <c r="W165" s="303"/>
      <c r="X165" s="303"/>
      <c r="Y165" s="303"/>
      <c r="Z165" s="207"/>
      <c r="AA165" s="207"/>
      <c r="AB165" s="107"/>
      <c r="AC165" s="107"/>
      <c r="AD165" s="107"/>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row>
    <row r="166" spans="1:55" ht="18" customHeight="1" x14ac:dyDescent="0.35">
      <c r="A166" s="124" t="s">
        <v>99</v>
      </c>
      <c r="B166" s="124"/>
      <c r="C166" s="124"/>
      <c r="D166" s="124"/>
      <c r="E166" s="124"/>
      <c r="F166" s="124"/>
      <c r="G166" s="124"/>
      <c r="H166" s="124"/>
      <c r="I166" s="124"/>
      <c r="J166" s="124"/>
      <c r="K166" s="124"/>
      <c r="L166" s="124"/>
      <c r="M166" s="124"/>
      <c r="N166" s="124"/>
      <c r="O166" s="124"/>
      <c r="P166" s="303"/>
      <c r="Q166" s="303"/>
      <c r="R166" s="303"/>
      <c r="S166" s="303"/>
      <c r="T166" s="303"/>
      <c r="U166" s="303"/>
      <c r="V166" s="303"/>
      <c r="W166" s="303"/>
      <c r="X166" s="303"/>
      <c r="Y166" s="303"/>
      <c r="Z166" s="107"/>
      <c r="AA166" s="107"/>
      <c r="AB166" s="107"/>
      <c r="AC166" s="107"/>
      <c r="AD166" s="107"/>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row>
    <row r="167" spans="1:55" ht="18" customHeight="1" x14ac:dyDescent="0.35">
      <c r="A167" s="124" t="s">
        <v>46</v>
      </c>
      <c r="B167" s="124"/>
      <c r="C167" s="124"/>
      <c r="D167" s="124"/>
      <c r="E167" s="124"/>
      <c r="F167" s="124"/>
      <c r="G167" s="124"/>
      <c r="H167" s="124"/>
      <c r="I167" s="124"/>
      <c r="J167" s="124"/>
      <c r="K167" s="124"/>
      <c r="L167" s="124"/>
      <c r="M167" s="124"/>
      <c r="N167" s="124"/>
      <c r="O167" s="124"/>
      <c r="P167" s="303"/>
      <c r="Q167" s="303"/>
      <c r="R167" s="303"/>
      <c r="S167" s="303"/>
      <c r="T167" s="303"/>
      <c r="U167" s="303"/>
      <c r="V167" s="303"/>
      <c r="W167" s="303"/>
      <c r="X167" s="303"/>
      <c r="Y167" s="303"/>
      <c r="Z167" s="207"/>
      <c r="AA167" s="207"/>
      <c r="AB167" s="107"/>
      <c r="AC167" s="107"/>
      <c r="AD167" s="107"/>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row>
    <row r="168" spans="1:55" ht="18" customHeight="1" x14ac:dyDescent="0.35">
      <c r="A168" s="124" t="s">
        <v>31</v>
      </c>
      <c r="B168" s="124"/>
      <c r="C168" s="124"/>
      <c r="D168" s="124"/>
      <c r="E168" s="124"/>
      <c r="F168" s="124"/>
      <c r="G168" s="124"/>
      <c r="H168" s="124">
        <v>0.29294605469959611</v>
      </c>
      <c r="I168" s="124">
        <v>0.46767245030794435</v>
      </c>
      <c r="J168" s="124">
        <v>0.38837263194877414</v>
      </c>
      <c r="K168" s="124">
        <v>0.22814292905550637</v>
      </c>
      <c r="L168" s="124">
        <v>0.16516446378516569</v>
      </c>
      <c r="M168" s="124">
        <v>0.13016181430325835</v>
      </c>
      <c r="N168" s="124">
        <v>0.13834016426982099</v>
      </c>
      <c r="O168" s="124">
        <v>0.13991989776854696</v>
      </c>
      <c r="P168" s="303"/>
      <c r="Q168" s="303"/>
      <c r="R168" s="303"/>
      <c r="S168" s="303"/>
      <c r="T168" s="303"/>
      <c r="U168" s="303"/>
      <c r="V168" s="303"/>
      <c r="W168" s="303"/>
      <c r="X168" s="303"/>
      <c r="Y168" s="303"/>
      <c r="Z168" s="207"/>
      <c r="AA168" s="207"/>
      <c r="AB168" s="107"/>
      <c r="AC168" s="107"/>
      <c r="AD168" s="107"/>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row>
    <row r="169" spans="1:55" ht="18" customHeight="1" x14ac:dyDescent="0.35">
      <c r="A169" s="124" t="s">
        <v>108</v>
      </c>
      <c r="B169" s="124"/>
      <c r="C169" s="124"/>
      <c r="D169" s="124"/>
      <c r="E169" s="124"/>
      <c r="F169" s="124"/>
      <c r="G169" s="124"/>
      <c r="H169" s="124"/>
      <c r="I169" s="124">
        <v>10403882.129133433</v>
      </c>
      <c r="J169" s="124">
        <v>15039306</v>
      </c>
      <c r="K169" s="124">
        <v>17484830</v>
      </c>
      <c r="L169" s="124">
        <v>19765793.68</v>
      </c>
      <c r="M169" s="124">
        <v>22668451.129999999</v>
      </c>
      <c r="N169" s="124">
        <v>25772649.271131713</v>
      </c>
      <c r="O169" s="124">
        <v>29223366.775900789</v>
      </c>
      <c r="P169" s="303"/>
      <c r="Q169" s="303"/>
      <c r="R169" s="303"/>
      <c r="S169" s="303"/>
      <c r="T169" s="303"/>
      <c r="U169" s="303"/>
      <c r="V169" s="303"/>
      <c r="W169" s="303"/>
      <c r="X169" s="303"/>
      <c r="Y169" s="303"/>
      <c r="Z169" s="205"/>
      <c r="AA169" s="205"/>
      <c r="AB169" s="107"/>
      <c r="AC169" s="107"/>
      <c r="AD169" s="107"/>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row>
    <row r="170" spans="1:55" ht="25" customHeight="1" x14ac:dyDescent="0.35">
      <c r="A170" s="124" t="s">
        <v>109</v>
      </c>
      <c r="B170" s="124"/>
      <c r="C170" s="124"/>
      <c r="D170" s="124"/>
      <c r="E170" s="124"/>
      <c r="F170" s="124"/>
      <c r="G170" s="124"/>
      <c r="H170" s="124"/>
      <c r="I170" s="124">
        <v>5173657</v>
      </c>
      <c r="J170" s="124">
        <v>6588123</v>
      </c>
      <c r="K170" s="124">
        <v>9076744</v>
      </c>
      <c r="L170" s="124">
        <v>11182808.447000001</v>
      </c>
      <c r="M170" s="124">
        <v>12308477.199999999</v>
      </c>
      <c r="N170" s="124">
        <v>14042993.06969424</v>
      </c>
      <c r="O170" s="124">
        <v>16163276.170842566</v>
      </c>
      <c r="P170" s="303"/>
      <c r="Q170" s="303"/>
      <c r="R170" s="303"/>
      <c r="S170" s="303"/>
      <c r="T170" s="303"/>
      <c r="U170" s="303"/>
      <c r="V170" s="303"/>
      <c r="W170" s="303"/>
      <c r="X170" s="303"/>
      <c r="Y170" s="303"/>
      <c r="Z170" s="107"/>
      <c r="AA170" s="107"/>
      <c r="AB170" s="107"/>
      <c r="AC170" s="107"/>
      <c r="AD170" s="107"/>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row>
    <row r="171" spans="1:55" ht="25" customHeight="1" x14ac:dyDescent="0.35">
      <c r="A171" s="124" t="s">
        <v>110</v>
      </c>
      <c r="B171" s="124"/>
      <c r="C171" s="124"/>
      <c r="D171" s="124"/>
      <c r="E171" s="124"/>
      <c r="F171" s="124"/>
      <c r="G171" s="124"/>
      <c r="H171" s="124"/>
      <c r="I171" s="124">
        <v>0.33212286980066835</v>
      </c>
      <c r="J171" s="124">
        <v>0.30499999999999999</v>
      </c>
      <c r="K171" s="124">
        <v>0.34172462821668625</v>
      </c>
      <c r="L171" s="124">
        <v>0.36133484805260269</v>
      </c>
      <c r="M171" s="124">
        <v>0.35190274811647532</v>
      </c>
      <c r="N171" s="124">
        <v>0.35270040225609794</v>
      </c>
      <c r="O171" s="124">
        <v>0.35612407354755315</v>
      </c>
      <c r="P171" s="303"/>
      <c r="Q171" s="303"/>
      <c r="R171" s="303"/>
      <c r="S171" s="303"/>
      <c r="T171" s="303"/>
      <c r="U171" s="303"/>
      <c r="V171" s="303"/>
      <c r="W171" s="303"/>
      <c r="X171" s="303"/>
      <c r="Y171" s="303"/>
      <c r="Z171" s="107"/>
      <c r="AA171" s="107"/>
      <c r="AB171" s="107"/>
      <c r="AC171" s="107"/>
      <c r="AD171" s="107"/>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row>
    <row r="172" spans="1:55" ht="25" customHeight="1" x14ac:dyDescent="0.35">
      <c r="A172" s="124" t="s">
        <v>111</v>
      </c>
      <c r="B172" s="124"/>
      <c r="C172" s="124"/>
      <c r="D172" s="124"/>
      <c r="E172" s="124"/>
      <c r="F172" s="124"/>
      <c r="G172" s="124"/>
      <c r="H172" s="124"/>
      <c r="I172" s="124">
        <v>229178.69225299999</v>
      </c>
      <c r="J172" s="124">
        <v>337800.55106600001</v>
      </c>
      <c r="K172" s="124">
        <v>448558.61158399994</v>
      </c>
      <c r="L172" s="124">
        <v>698603.28799999994</v>
      </c>
      <c r="M172" s="124">
        <v>934201.69</v>
      </c>
      <c r="N172" s="124">
        <v>934447.92178417824</v>
      </c>
      <c r="O172" s="124">
        <v>934447.92178417824</v>
      </c>
      <c r="P172" s="303"/>
      <c r="Q172" s="303"/>
      <c r="R172" s="303"/>
      <c r="S172" s="303"/>
      <c r="T172" s="303"/>
      <c r="U172" s="303"/>
      <c r="V172" s="303"/>
      <c r="W172" s="303"/>
      <c r="X172" s="303"/>
      <c r="Y172" s="303"/>
      <c r="Z172" s="107"/>
      <c r="AA172" s="107"/>
      <c r="AB172" s="107"/>
      <c r="AC172" s="107"/>
      <c r="AD172" s="107"/>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row>
    <row r="173" spans="1:55" ht="25" customHeight="1" x14ac:dyDescent="0.35">
      <c r="A173" s="124" t="s">
        <v>112</v>
      </c>
      <c r="B173" s="124"/>
      <c r="C173" s="124"/>
      <c r="D173" s="124"/>
      <c r="E173" s="124"/>
      <c r="F173" s="124"/>
      <c r="G173" s="124"/>
      <c r="H173" s="124"/>
      <c r="I173" s="124">
        <v>0.34683499411973912</v>
      </c>
      <c r="J173" s="124">
        <v>0.32023795112521236</v>
      </c>
      <c r="K173" s="124">
        <v>0.35861212937094766</v>
      </c>
      <c r="L173" s="124">
        <v>0.38390786395597781</v>
      </c>
      <c r="M173" s="124">
        <v>0.37861183134945686</v>
      </c>
      <c r="N173" s="124">
        <v>0.3761697692396872</v>
      </c>
      <c r="O173" s="124">
        <v>0.37671268422934906</v>
      </c>
      <c r="P173" s="303"/>
      <c r="Q173" s="303"/>
      <c r="R173" s="303"/>
      <c r="S173" s="303"/>
      <c r="T173" s="303"/>
      <c r="U173" s="303"/>
      <c r="V173" s="303"/>
      <c r="W173" s="303"/>
      <c r="X173" s="303"/>
      <c r="Y173" s="303"/>
      <c r="Z173" s="107"/>
      <c r="AA173" s="107"/>
      <c r="AB173" s="107"/>
      <c r="AC173" s="107"/>
      <c r="AD173" s="212" t="e">
        <f>AVERAGE(AC174:AC178)</f>
        <v>#DIV/0!</v>
      </c>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row>
    <row r="174" spans="1:55" ht="25" customHeight="1" x14ac:dyDescent="0.35">
      <c r="A174" s="124"/>
      <c r="B174" s="124"/>
      <c r="C174" s="124"/>
      <c r="D174" s="124"/>
      <c r="E174" s="124"/>
      <c r="F174" s="124"/>
      <c r="G174" s="124"/>
      <c r="H174" s="124"/>
      <c r="I174" s="124"/>
      <c r="J174" s="124"/>
      <c r="K174" s="124"/>
      <c r="L174" s="124"/>
      <c r="M174" s="124"/>
      <c r="N174" s="124"/>
      <c r="O174" s="124"/>
      <c r="P174" s="303"/>
      <c r="Q174" s="303"/>
      <c r="R174" s="303"/>
      <c r="S174" s="303"/>
      <c r="T174" s="303"/>
      <c r="U174" s="303"/>
      <c r="V174" s="303"/>
      <c r="W174" s="303"/>
      <c r="X174" s="303"/>
      <c r="Y174" s="303"/>
      <c r="Z174" s="107"/>
      <c r="AA174" s="107"/>
      <c r="AB174" s="107"/>
      <c r="AC174" s="107"/>
      <c r="AD174" s="107" t="e">
        <f>AD173*AD175</f>
        <v>#DIV/0!</v>
      </c>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row>
    <row r="175" spans="1:55" ht="25" customHeight="1" x14ac:dyDescent="0.35">
      <c r="A175" s="124"/>
      <c r="B175" s="124"/>
      <c r="C175" s="124"/>
      <c r="D175" s="124"/>
      <c r="E175" s="124"/>
      <c r="F175" s="124"/>
      <c r="G175" s="124"/>
      <c r="H175" s="110">
        <v>2018</v>
      </c>
      <c r="I175" s="110">
        <v>2019</v>
      </c>
      <c r="J175" s="110">
        <v>2020</v>
      </c>
      <c r="K175" s="110">
        <v>2021</v>
      </c>
      <c r="L175" s="110">
        <v>2022</v>
      </c>
      <c r="M175" s="110" t="s">
        <v>50</v>
      </c>
      <c r="N175" s="110" t="s">
        <v>51</v>
      </c>
      <c r="O175" s="110" t="s">
        <v>52</v>
      </c>
      <c r="P175" s="295"/>
      <c r="Q175" s="295"/>
      <c r="R175" s="295"/>
      <c r="S175" s="295"/>
      <c r="T175" s="295"/>
      <c r="U175" s="295"/>
      <c r="V175" s="295"/>
      <c r="W175" s="295"/>
      <c r="X175" s="295"/>
      <c r="Y175" s="295"/>
      <c r="Z175" s="107"/>
      <c r="AA175" s="107"/>
      <c r="AB175" s="107"/>
      <c r="AC175" s="107"/>
      <c r="AD175" s="107">
        <v>0.41183312049907628</v>
      </c>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row>
    <row r="176" spans="1:55" ht="25" customHeight="1" x14ac:dyDescent="0.35">
      <c r="A176" s="114" t="s">
        <v>113</v>
      </c>
      <c r="B176" s="114"/>
      <c r="C176" s="114"/>
      <c r="D176" s="114"/>
      <c r="E176" s="114"/>
      <c r="F176" s="114"/>
      <c r="G176" s="114"/>
      <c r="H176" s="114">
        <f t="shared" ref="H176:O176" si="215">H179-H186+H190+H198-H205+H209+H213</f>
        <v>42378.753979909998</v>
      </c>
      <c r="I176" s="114">
        <f t="shared" si="215"/>
        <v>45758.074290750003</v>
      </c>
      <c r="J176" s="114">
        <f>J179-J186+J190+J198-J205+J209+J213</f>
        <v>34956.943557933002</v>
      </c>
      <c r="K176" s="114">
        <f t="shared" si="215"/>
        <v>50241.584443779007</v>
      </c>
      <c r="L176" s="114">
        <f t="shared" si="215"/>
        <v>51354.195901306994</v>
      </c>
      <c r="M176" s="114" t="e">
        <f t="shared" si="215"/>
        <v>#DIV/0!</v>
      </c>
      <c r="N176" s="114" t="e">
        <f t="shared" si="215"/>
        <v>#DIV/0!</v>
      </c>
      <c r="O176" s="114" t="e">
        <f t="shared" si="215"/>
        <v>#DIV/0!</v>
      </c>
      <c r="P176" s="296"/>
      <c r="Q176" s="296"/>
      <c r="R176" s="296"/>
      <c r="S176" s="296"/>
      <c r="T176" s="296"/>
      <c r="U176" s="296"/>
      <c r="V176" s="296"/>
      <c r="W176" s="296"/>
      <c r="X176" s="296"/>
      <c r="Y176" s="296"/>
      <c r="Z176" s="107"/>
      <c r="AA176" s="107"/>
      <c r="AB176" s="107"/>
      <c r="AC176" s="107"/>
      <c r="AD176" s="107"/>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row>
    <row r="177" spans="1:55" ht="25" customHeight="1" x14ac:dyDescent="0.35">
      <c r="A177" s="143"/>
      <c r="B177" s="143"/>
      <c r="C177" s="143"/>
      <c r="D177" s="143"/>
      <c r="E177" s="143"/>
      <c r="F177" s="143"/>
      <c r="G177" s="143"/>
      <c r="H177" s="234" t="s">
        <v>23</v>
      </c>
      <c r="I177" s="234"/>
      <c r="J177" s="234"/>
      <c r="K177" s="234"/>
      <c r="L177" s="234"/>
      <c r="M177" s="234" t="s">
        <v>24</v>
      </c>
      <c r="N177" s="234"/>
      <c r="O177" s="234"/>
      <c r="P177" s="306"/>
      <c r="Q177" s="306"/>
      <c r="R177" s="306"/>
      <c r="S177" s="306"/>
      <c r="T177" s="306"/>
      <c r="U177" s="306"/>
      <c r="V177" s="306"/>
      <c r="W177" s="306"/>
      <c r="X177" s="306"/>
      <c r="Y177" s="306"/>
      <c r="Z177" s="107"/>
      <c r="AA177" s="107"/>
      <c r="AB177" s="107"/>
      <c r="AC177" s="107"/>
      <c r="AD177" s="107"/>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row>
    <row r="178" spans="1:55" ht="25" customHeight="1" x14ac:dyDescent="0.35">
      <c r="A178" s="235" t="s">
        <v>13</v>
      </c>
      <c r="B178" s="235"/>
      <c r="C178" s="235"/>
      <c r="D178" s="235"/>
      <c r="E178" s="235"/>
      <c r="F178" s="235"/>
      <c r="G178" s="235"/>
      <c r="H178" s="235"/>
      <c r="I178" s="235"/>
      <c r="J178" s="235"/>
      <c r="K178" s="235"/>
      <c r="L178" s="235"/>
      <c r="M178" s="235"/>
      <c r="N178" s="235"/>
      <c r="O178" s="235"/>
      <c r="P178" s="304"/>
      <c r="Q178" s="304"/>
      <c r="R178" s="304"/>
      <c r="S178" s="304"/>
      <c r="T178" s="304"/>
      <c r="U178" s="304"/>
      <c r="V178" s="304"/>
      <c r="W178" s="304"/>
      <c r="X178" s="304"/>
      <c r="Y178" s="304"/>
      <c r="Z178" s="107"/>
      <c r="AA178" s="107"/>
      <c r="AB178" s="107"/>
      <c r="AC178" s="107"/>
      <c r="AD178" s="107"/>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row>
    <row r="179" spans="1:55" ht="25" customHeight="1" x14ac:dyDescent="0.35">
      <c r="A179" s="120" t="s">
        <v>13</v>
      </c>
      <c r="B179" s="120"/>
      <c r="C179" s="120"/>
      <c r="D179" s="120"/>
      <c r="E179" s="120"/>
      <c r="F179" s="120"/>
      <c r="G179" s="120"/>
      <c r="H179" s="121">
        <f>H220/1000000000</f>
        <v>27950.543501501001</v>
      </c>
      <c r="I179" s="121">
        <f>I220/1000000000</f>
        <v>29745.906112117002</v>
      </c>
      <c r="J179" s="121">
        <f>J220/1000000000</f>
        <v>31967.662837839001</v>
      </c>
      <c r="K179" s="121">
        <f>K220/1000000000</f>
        <v>34640.863353838999</v>
      </c>
      <c r="L179" s="121">
        <f>L220/1000000000</f>
        <v>36059.015690710999</v>
      </c>
      <c r="M179" s="121" t="e">
        <f>M182*M3</f>
        <v>#DIV/0!</v>
      </c>
      <c r="N179" s="121" t="e">
        <f>N182*N3</f>
        <v>#DIV/0!</v>
      </c>
      <c r="O179" s="121" t="e">
        <f>O182*O3</f>
        <v>#DIV/0!</v>
      </c>
      <c r="P179" s="301"/>
      <c r="Q179" s="301"/>
      <c r="R179" s="301"/>
      <c r="S179" s="301"/>
      <c r="T179" s="301"/>
      <c r="U179" s="301"/>
      <c r="V179" s="301"/>
      <c r="W179" s="301"/>
      <c r="X179" s="301"/>
      <c r="Y179" s="301"/>
      <c r="Z179" s="107"/>
      <c r="AA179" s="107"/>
      <c r="AB179" s="107"/>
      <c r="AC179" s="107"/>
      <c r="AD179" s="107"/>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row>
    <row r="180" spans="1:55" ht="25" customHeight="1" x14ac:dyDescent="0.35">
      <c r="A180" s="124" t="s">
        <v>31</v>
      </c>
      <c r="B180" s="124"/>
      <c r="C180" s="124"/>
      <c r="D180" s="124"/>
      <c r="E180" s="124"/>
      <c r="F180" s="124"/>
      <c r="G180" s="124"/>
      <c r="H180" s="127">
        <f>AVERAGE(I180:L180)</f>
        <v>6.5871364303245861E-2</v>
      </c>
      <c r="I180" s="126">
        <f>I179/H179-1</f>
        <v>6.4233549180164884E-2</v>
      </c>
      <c r="J180" s="126">
        <f t="shared" ref="J180:L180" si="216">J179/I179-1</f>
        <v>7.4691176572259987E-2</v>
      </c>
      <c r="K180" s="126">
        <f t="shared" si="216"/>
        <v>8.3622019212359344E-2</v>
      </c>
      <c r="L180" s="126">
        <f t="shared" si="216"/>
        <v>4.0938712248199227E-2</v>
      </c>
      <c r="M180" s="126">
        <f>(1+M181)*(1+M184)-1</f>
        <v>-0.17137702946482269</v>
      </c>
      <c r="N180" s="126">
        <f>(1+N181)*(1+N184)-1</f>
        <v>-0.11202830188679225</v>
      </c>
      <c r="O180" s="126">
        <f>(1+O181)*(1+O184)-1</f>
        <v>2.5232403718459473E-2</v>
      </c>
      <c r="P180" s="299"/>
      <c r="Q180" s="299"/>
      <c r="R180" s="299"/>
      <c r="S180" s="299"/>
      <c r="T180" s="299"/>
      <c r="U180" s="299"/>
      <c r="V180" s="299"/>
      <c r="W180" s="299"/>
      <c r="X180" s="299"/>
      <c r="Y180" s="299"/>
      <c r="Z180" s="107"/>
      <c r="AA180" s="107"/>
      <c r="AB180" s="107"/>
      <c r="AC180" s="107"/>
      <c r="AD180" s="107"/>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row>
    <row r="181" spans="1:55" ht="25" customHeight="1" x14ac:dyDescent="0.35">
      <c r="A181" s="124" t="s">
        <v>114</v>
      </c>
      <c r="B181" s="124"/>
      <c r="C181" s="124"/>
      <c r="D181" s="124"/>
      <c r="E181" s="124"/>
      <c r="F181" s="124"/>
      <c r="G181" s="124"/>
      <c r="H181" s="124"/>
      <c r="I181" s="126" t="e">
        <f>I182/H182-1</f>
        <v>#DIV/0!</v>
      </c>
      <c r="J181" s="126">
        <f t="shared" ref="J181:K181" si="217">J182/I182-1</f>
        <v>7.8057341300882932E-2</v>
      </c>
      <c r="K181" s="126">
        <f t="shared" si="217"/>
        <v>8.3743847495091783E-2</v>
      </c>
      <c r="L181" s="126">
        <f>L182/K182-1</f>
        <v>5.9223886971930595E-2</v>
      </c>
      <c r="M181" s="126">
        <f>$AC$53</f>
        <v>0</v>
      </c>
      <c r="N181" s="126">
        <f>$AC$53</f>
        <v>0</v>
      </c>
      <c r="O181" s="126">
        <f>$AC$53</f>
        <v>0</v>
      </c>
      <c r="P181" s="299"/>
      <c r="Q181" s="299"/>
      <c r="R181" s="299"/>
      <c r="S181" s="299"/>
      <c r="T181" s="299"/>
      <c r="U181" s="299"/>
      <c r="V181" s="299"/>
      <c r="W181" s="299"/>
      <c r="X181" s="299"/>
      <c r="Y181" s="299"/>
      <c r="Z181" s="107"/>
      <c r="AA181" s="107"/>
      <c r="AB181" s="107"/>
      <c r="AC181" s="107"/>
      <c r="AD181" s="107"/>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row>
    <row r="182" spans="1:55" ht="25" customHeight="1" x14ac:dyDescent="0.35">
      <c r="A182" s="124" t="s">
        <v>115</v>
      </c>
      <c r="B182" s="124"/>
      <c r="C182" s="124"/>
      <c r="D182" s="124"/>
      <c r="E182" s="124"/>
      <c r="F182" s="124"/>
      <c r="G182" s="124"/>
      <c r="H182" s="126" t="e">
        <f>H179/H3</f>
        <v>#DIV/0!</v>
      </c>
      <c r="I182" s="126">
        <f>I179/I3</f>
        <v>1.4324926947297388E-5</v>
      </c>
      <c r="J182" s="126">
        <f>J179/J3</f>
        <v>1.5443092659132795E-5</v>
      </c>
      <c r="K182" s="126">
        <f>K179/K3</f>
        <v>1.6736356655631783E-5</v>
      </c>
      <c r="L182" s="126">
        <f>L179/L3</f>
        <v>1.7727548750526839E-5</v>
      </c>
      <c r="M182" s="127" t="e">
        <f>AVERAGE($H$182:$L$182)</f>
        <v>#DIV/0!</v>
      </c>
      <c r="N182" s="127" t="e">
        <f>AVERAGE($H$182:$L$182)</f>
        <v>#DIV/0!</v>
      </c>
      <c r="O182" s="127" t="e">
        <f>AVERAGE($H$182:$L$182)</f>
        <v>#DIV/0!</v>
      </c>
      <c r="P182" s="300"/>
      <c r="Q182" s="300"/>
      <c r="R182" s="300"/>
      <c r="S182" s="300"/>
      <c r="T182" s="300"/>
      <c r="U182" s="300"/>
      <c r="V182" s="300"/>
      <c r="W182" s="300"/>
      <c r="X182" s="300"/>
      <c r="Y182" s="300"/>
      <c r="Z182" s="107"/>
      <c r="AA182" s="107"/>
      <c r="AB182" s="107"/>
      <c r="AC182" s="107"/>
      <c r="AD182" s="107"/>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row>
    <row r="183" spans="1:55" ht="25" customHeight="1" x14ac:dyDescent="0.35">
      <c r="A183" s="124" t="s">
        <v>116</v>
      </c>
      <c r="B183" s="124"/>
      <c r="C183" s="124"/>
      <c r="D183" s="124"/>
      <c r="E183" s="124"/>
      <c r="F183" s="124"/>
      <c r="G183" s="124"/>
      <c r="H183" s="124"/>
      <c r="I183" s="124">
        <v>1.879</v>
      </c>
      <c r="J183" s="124">
        <v>2.492</v>
      </c>
      <c r="K183" s="124">
        <v>2.0920000000000001</v>
      </c>
      <c r="L183" s="124">
        <v>3.3260000000000001</v>
      </c>
      <c r="M183" s="124">
        <v>2.7559999999999998</v>
      </c>
      <c r="N183" s="152">
        <f>AVERAGE($I$183:$L$183)</f>
        <v>2.4472500000000004</v>
      </c>
      <c r="O183" s="124">
        <f>AVERAGE($I$183:$M$183)</f>
        <v>2.5090000000000003</v>
      </c>
      <c r="P183" s="303"/>
      <c r="Q183" s="303"/>
      <c r="R183" s="303"/>
      <c r="S183" s="303"/>
      <c r="T183" s="303"/>
      <c r="U183" s="303"/>
      <c r="V183" s="303"/>
      <c r="W183" s="303"/>
      <c r="X183" s="303"/>
      <c r="Y183" s="303"/>
      <c r="Z183" s="107"/>
      <c r="AA183" s="107"/>
      <c r="AB183" s="107"/>
      <c r="AC183" s="107"/>
      <c r="AD183" s="107"/>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row>
    <row r="184" spans="1:55" ht="25" customHeight="1" x14ac:dyDescent="0.35">
      <c r="A184" s="124" t="s">
        <v>117</v>
      </c>
      <c r="B184" s="124"/>
      <c r="C184" s="124"/>
      <c r="D184" s="124"/>
      <c r="E184" s="124"/>
      <c r="F184" s="124"/>
      <c r="G184" s="124"/>
      <c r="H184" s="124"/>
      <c r="I184" s="127">
        <f>AVERAGE(J184:K184)</f>
        <v>8.2861858319159931E-2</v>
      </c>
      <c r="J184" s="126">
        <f>J183/I183-1</f>
        <v>0.32623736029803085</v>
      </c>
      <c r="K184" s="126">
        <f t="shared" ref="K184:L184" si="218">K183/J183-1</f>
        <v>-0.16051364365971099</v>
      </c>
      <c r="L184" s="126">
        <f t="shared" si="218"/>
        <v>0.58986615678776277</v>
      </c>
      <c r="M184" s="126">
        <f>M183/L183-1</f>
        <v>-0.17137702946482269</v>
      </c>
      <c r="N184" s="126">
        <f>N183/M183-1</f>
        <v>-0.11202830188679225</v>
      </c>
      <c r="O184" s="126">
        <f>O183/N183-1</f>
        <v>2.5232403718459473E-2</v>
      </c>
      <c r="P184" s="299"/>
      <c r="Q184" s="299"/>
      <c r="R184" s="299"/>
      <c r="S184" s="299"/>
      <c r="T184" s="299"/>
      <c r="U184" s="299"/>
      <c r="V184" s="299"/>
      <c r="W184" s="299"/>
      <c r="X184" s="299"/>
      <c r="Y184" s="299"/>
      <c r="Z184" s="107"/>
      <c r="AA184" s="107"/>
      <c r="AB184" s="107"/>
      <c r="AC184" s="107"/>
      <c r="AD184" s="107"/>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row>
    <row r="185" spans="1:55" ht="25" customHeight="1" x14ac:dyDescent="0.35">
      <c r="A185" s="235" t="s">
        <v>118</v>
      </c>
      <c r="B185" s="235"/>
      <c r="C185" s="235"/>
      <c r="D185" s="235"/>
      <c r="E185" s="235"/>
      <c r="F185" s="235"/>
      <c r="G185" s="235"/>
      <c r="H185" s="235"/>
      <c r="I185" s="235"/>
      <c r="J185" s="235"/>
      <c r="K185" s="235"/>
      <c r="L185" s="235"/>
      <c r="M185" s="235"/>
      <c r="N185" s="235"/>
      <c r="O185" s="235"/>
      <c r="P185" s="304"/>
      <c r="Q185" s="304"/>
      <c r="R185" s="304"/>
      <c r="S185" s="304"/>
      <c r="T185" s="304"/>
      <c r="U185" s="304"/>
      <c r="V185" s="304"/>
      <c r="W185" s="304"/>
      <c r="X185" s="304"/>
      <c r="Y185" s="304"/>
      <c r="Z185" s="107"/>
      <c r="AA185" s="107"/>
      <c r="AB185" s="107"/>
      <c r="AC185" s="107"/>
      <c r="AD185" s="107"/>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row>
    <row r="186" spans="1:55" ht="25" customHeight="1" x14ac:dyDescent="0.35">
      <c r="A186" s="121" t="s">
        <v>119</v>
      </c>
      <c r="B186" s="121"/>
      <c r="C186" s="121"/>
      <c r="D186" s="121"/>
      <c r="E186" s="121"/>
      <c r="F186" s="121"/>
      <c r="G186" s="121"/>
      <c r="H186" s="121">
        <f>H188/1000000000</f>
        <v>759.91739100100006</v>
      </c>
      <c r="I186" s="121">
        <f t="shared" ref="I186:L186" si="219">I188/1000000000</f>
        <v>807.31670748299996</v>
      </c>
      <c r="J186" s="121">
        <f t="shared" si="219"/>
        <v>1581.092655317</v>
      </c>
      <c r="K186" s="121">
        <f t="shared" si="219"/>
        <v>1214.683819394</v>
      </c>
      <c r="L186" s="121">
        <f t="shared" si="219"/>
        <v>1379.9044077399999</v>
      </c>
      <c r="M186" s="121">
        <f>L186*(1+2%)</f>
        <v>1407.5024958947999</v>
      </c>
      <c r="N186" s="121">
        <f>M186*(1+2%)</f>
        <v>1435.652545812696</v>
      </c>
      <c r="O186" s="121">
        <f>AVERAGE($H$186:$L$186)</f>
        <v>1148.5829961869999</v>
      </c>
      <c r="P186" s="301"/>
      <c r="Q186" s="301"/>
      <c r="R186" s="301"/>
      <c r="S186" s="301"/>
      <c r="T186" s="301"/>
      <c r="U186" s="301"/>
      <c r="V186" s="301"/>
      <c r="W186" s="301"/>
      <c r="X186" s="301"/>
      <c r="Y186" s="301"/>
      <c r="Z186" s="107"/>
      <c r="AA186" s="107"/>
      <c r="AB186" s="107"/>
      <c r="AC186" s="107"/>
      <c r="AD186" s="107"/>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row>
    <row r="187" spans="1:55" ht="25" customHeight="1" x14ac:dyDescent="0.35">
      <c r="A187" s="124" t="s">
        <v>31</v>
      </c>
      <c r="B187" s="124"/>
      <c r="C187" s="124"/>
      <c r="D187" s="124"/>
      <c r="E187" s="124"/>
      <c r="F187" s="124"/>
      <c r="G187" s="124"/>
      <c r="H187" s="124"/>
      <c r="I187" s="130">
        <f>I186/H186-1</f>
        <v>6.2374301527121645E-2</v>
      </c>
      <c r="J187" s="130">
        <f t="shared" ref="J187:L187" si="220">J186/I186-1</f>
        <v>0.95845402512036304</v>
      </c>
      <c r="K187" s="130">
        <f t="shared" si="220"/>
        <v>-0.2317440630002402</v>
      </c>
      <c r="L187" s="130">
        <f t="shared" si="220"/>
        <v>0.1360194197930682</v>
      </c>
      <c r="M187" s="155">
        <f>M186/L186-1</f>
        <v>2.0000000000000018E-2</v>
      </c>
      <c r="N187" s="155">
        <f t="shared" ref="N187:O187" si="221">N186/M186-1</f>
        <v>2.0000000000000018E-2</v>
      </c>
      <c r="O187" s="155">
        <f t="shared" si="221"/>
        <v>-0.19995753879514866</v>
      </c>
      <c r="P187" s="307"/>
      <c r="Q187" s="307"/>
      <c r="R187" s="307"/>
      <c r="S187" s="307"/>
      <c r="T187" s="307"/>
      <c r="U187" s="307"/>
      <c r="V187" s="307"/>
      <c r="W187" s="307"/>
      <c r="X187" s="307"/>
      <c r="Y187" s="307"/>
      <c r="Z187" s="107"/>
      <c r="AA187" s="107"/>
      <c r="AB187" s="107"/>
      <c r="AC187" s="107"/>
      <c r="AD187" s="107"/>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row>
    <row r="188" spans="1:55" ht="25" customHeight="1" x14ac:dyDescent="0.35">
      <c r="A188" s="124" t="s">
        <v>118</v>
      </c>
      <c r="B188" s="124"/>
      <c r="C188" s="124"/>
      <c r="D188" s="124"/>
      <c r="E188" s="124"/>
      <c r="F188" s="124"/>
      <c r="G188" s="124"/>
      <c r="H188" s="156">
        <v>759917391001</v>
      </c>
      <c r="I188" s="156">
        <v>807316707483</v>
      </c>
      <c r="J188" s="156">
        <v>1581092655317</v>
      </c>
      <c r="K188" s="156">
        <v>1214683819394</v>
      </c>
      <c r="L188" s="156">
        <v>1379904407740</v>
      </c>
      <c r="M188" s="124"/>
      <c r="N188" s="124"/>
      <c r="O188" s="124"/>
      <c r="P188" s="303"/>
      <c r="Q188" s="303"/>
      <c r="R188" s="303"/>
      <c r="S188" s="303"/>
      <c r="T188" s="303"/>
      <c r="U188" s="303"/>
      <c r="V188" s="303"/>
      <c r="W188" s="303"/>
      <c r="X188" s="303"/>
      <c r="Y188" s="303"/>
      <c r="Z188" s="107"/>
      <c r="AA188" s="107"/>
      <c r="AB188" s="107"/>
      <c r="AC188" s="107"/>
      <c r="AD188" s="107"/>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row>
    <row r="189" spans="1:55" ht="25" customHeight="1" x14ac:dyDescent="0.35">
      <c r="A189" s="235" t="s">
        <v>120</v>
      </c>
      <c r="B189" s="235"/>
      <c r="C189" s="235"/>
      <c r="D189" s="235"/>
      <c r="E189" s="235"/>
      <c r="F189" s="235"/>
      <c r="G189" s="235"/>
      <c r="H189" s="235"/>
      <c r="I189" s="235"/>
      <c r="J189" s="235"/>
      <c r="K189" s="235"/>
      <c r="L189" s="235"/>
      <c r="M189" s="235"/>
      <c r="N189" s="235"/>
      <c r="O189" s="235"/>
      <c r="P189" s="304"/>
      <c r="Q189" s="304"/>
      <c r="R189" s="304"/>
      <c r="S189" s="304"/>
      <c r="T189" s="304"/>
      <c r="U189" s="304"/>
      <c r="V189" s="304"/>
      <c r="W189" s="304"/>
      <c r="X189" s="304"/>
      <c r="Y189" s="304"/>
      <c r="Z189" s="107"/>
      <c r="AA189" s="107"/>
      <c r="AB189" s="107"/>
      <c r="AC189" s="107"/>
      <c r="AD189" s="107"/>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row>
    <row r="190" spans="1:55" ht="25" customHeight="1" x14ac:dyDescent="0.35">
      <c r="A190" s="158" t="s">
        <v>121</v>
      </c>
      <c r="B190" s="158"/>
      <c r="C190" s="158"/>
      <c r="D190" s="158"/>
      <c r="E190" s="158"/>
      <c r="F190" s="158"/>
      <c r="G190" s="158"/>
      <c r="H190" s="158">
        <f>H191/1000000000</f>
        <v>118.00700167399999</v>
      </c>
      <c r="I190" s="158">
        <f t="shared" ref="I190:L190" si="222">I191/1000000000</f>
        <v>186.96968182800001</v>
      </c>
      <c r="J190" s="158">
        <f t="shared" si="222"/>
        <v>308.56932883500002</v>
      </c>
      <c r="K190" s="158">
        <f t="shared" si="222"/>
        <v>202.338232232</v>
      </c>
      <c r="L190" s="158">
        <f t="shared" si="222"/>
        <v>617.53718299499997</v>
      </c>
      <c r="M190" s="158">
        <f>L190*(1+2%)</f>
        <v>629.88792665489996</v>
      </c>
      <c r="N190" s="158">
        <f>M190*(1+2%)</f>
        <v>642.485685187998</v>
      </c>
      <c r="O190" s="158">
        <f>N190*(1+O192)</f>
        <v>528.32539595412311</v>
      </c>
      <c r="P190" s="244"/>
      <c r="Q190" s="244"/>
      <c r="R190" s="244"/>
      <c r="S190" s="244"/>
      <c r="T190" s="244"/>
      <c r="U190" s="244"/>
      <c r="V190" s="244"/>
      <c r="W190" s="244"/>
      <c r="X190" s="244"/>
      <c r="Y190" s="244"/>
      <c r="Z190" s="107"/>
      <c r="AA190" s="107"/>
      <c r="AB190" s="107"/>
      <c r="AC190" s="107"/>
      <c r="AD190" s="107"/>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row>
    <row r="191" spans="1:55" ht="25" customHeight="1" x14ac:dyDescent="0.35">
      <c r="A191" s="124"/>
      <c r="B191" s="124"/>
      <c r="C191" s="124"/>
      <c r="D191" s="124"/>
      <c r="E191" s="124"/>
      <c r="F191" s="124"/>
      <c r="G191" s="124"/>
      <c r="H191" s="156">
        <v>118007001674</v>
      </c>
      <c r="I191" s="156">
        <v>186969681828</v>
      </c>
      <c r="J191" s="156">
        <v>308569328835</v>
      </c>
      <c r="K191" s="156">
        <v>202338232232</v>
      </c>
      <c r="L191" s="156">
        <v>617537182995</v>
      </c>
      <c r="M191" s="124"/>
      <c r="N191" s="126"/>
      <c r="O191" s="124"/>
      <c r="P191" s="303"/>
      <c r="Q191" s="303"/>
      <c r="R191" s="303"/>
      <c r="S191" s="303"/>
      <c r="T191" s="303"/>
      <c r="U191" s="303"/>
      <c r="V191" s="303"/>
      <c r="W191" s="303"/>
      <c r="X191" s="303"/>
      <c r="Y191" s="303"/>
      <c r="Z191" s="107"/>
      <c r="AA191" s="107"/>
      <c r="AB191" s="107"/>
      <c r="AC191" s="107"/>
      <c r="AD191" s="107"/>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row>
    <row r="192" spans="1:55" ht="25" customHeight="1" x14ac:dyDescent="0.35">
      <c r="A192" s="124" t="s">
        <v>31</v>
      </c>
      <c r="B192" s="124"/>
      <c r="C192" s="124"/>
      <c r="D192" s="124"/>
      <c r="E192" s="124"/>
      <c r="F192" s="124"/>
      <c r="G192" s="124"/>
      <c r="H192" s="124"/>
      <c r="I192" s="159">
        <f>I191/H191-1</f>
        <v>0.58439481705087903</v>
      </c>
      <c r="J192" s="159">
        <f t="shared" ref="J192:L192" si="223">J191/I191-1</f>
        <v>0.65037093617597219</v>
      </c>
      <c r="K192" s="159">
        <f t="shared" si="223"/>
        <v>-0.34426978534799391</v>
      </c>
      <c r="L192" s="159">
        <f t="shared" si="223"/>
        <v>2.0520044392151009</v>
      </c>
      <c r="M192" s="130">
        <f>(1+M194)*(1+M196)-1</f>
        <v>-1.7121362930883066E-3</v>
      </c>
      <c r="N192" s="130">
        <f t="shared" ref="N192:O192" si="224">(1+N194)*(1+N196)-1</f>
        <v>-1.7121362930883066E-3</v>
      </c>
      <c r="O192" s="130">
        <f t="shared" si="224"/>
        <v>-0.17768534282669723</v>
      </c>
      <c r="P192" s="308"/>
      <c r="Q192" s="308"/>
      <c r="R192" s="308"/>
      <c r="S192" s="308"/>
      <c r="T192" s="308"/>
      <c r="U192" s="308"/>
      <c r="V192" s="308"/>
      <c r="W192" s="308"/>
      <c r="X192" s="308"/>
      <c r="Y192" s="308"/>
      <c r="Z192" s="107"/>
      <c r="AA192" s="107"/>
      <c r="AB192" s="107"/>
      <c r="AC192" s="107"/>
      <c r="AD192" s="107"/>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row>
    <row r="193" spans="1:55" ht="25" customHeight="1" x14ac:dyDescent="0.35">
      <c r="A193" s="124" t="s">
        <v>122</v>
      </c>
      <c r="B193" s="124"/>
      <c r="C193" s="124"/>
      <c r="D193" s="124"/>
      <c r="E193" s="124"/>
      <c r="F193" s="124"/>
      <c r="G193" s="124"/>
      <c r="H193" s="160">
        <f>H218/1000000000</f>
        <v>51.367418852</v>
      </c>
      <c r="I193" s="160">
        <f>I218/1000000000</f>
        <v>108.824893987</v>
      </c>
      <c r="J193" s="160">
        <f>J218/1000000000</f>
        <v>143.81846517700001</v>
      </c>
      <c r="K193" s="160">
        <f>K218/1000000000</f>
        <v>88.799090663000001</v>
      </c>
      <c r="L193" s="160">
        <f>L218/1000000000</f>
        <v>166.03909174399999</v>
      </c>
      <c r="M193" s="124"/>
      <c r="N193" s="124"/>
      <c r="O193" s="124"/>
      <c r="P193" s="303"/>
      <c r="Q193" s="303"/>
      <c r="R193" s="303"/>
      <c r="S193" s="303"/>
      <c r="T193" s="303"/>
      <c r="U193" s="303"/>
      <c r="V193" s="303"/>
      <c r="W193" s="303"/>
      <c r="X193" s="303"/>
      <c r="Y193" s="303"/>
      <c r="Z193" s="107"/>
      <c r="AA193" s="107"/>
      <c r="AB193" s="107"/>
      <c r="AC193" s="107"/>
      <c r="AD193" s="107"/>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row>
    <row r="194" spans="1:55" ht="25" customHeight="1" x14ac:dyDescent="0.35">
      <c r="A194" s="124"/>
      <c r="B194" s="124"/>
      <c r="C194" s="124"/>
      <c r="D194" s="124"/>
      <c r="E194" s="124"/>
      <c r="F194" s="124"/>
      <c r="G194" s="124"/>
      <c r="H194" s="160"/>
      <c r="I194" s="126">
        <f>I193/H193-1</f>
        <v>1.1185587366292764</v>
      </c>
      <c r="J194" s="126">
        <f t="shared" ref="J194:L194" si="225">J193/I193-1</f>
        <v>0.32155851393873425</v>
      </c>
      <c r="K194" s="126">
        <f t="shared" si="225"/>
        <v>-0.38256126879317376</v>
      </c>
      <c r="L194" s="126">
        <f t="shared" si="225"/>
        <v>0.86982873928441751</v>
      </c>
      <c r="M194" s="127">
        <f>AVERAGE($I$194:$K$194)</f>
        <v>0.35251866059161224</v>
      </c>
      <c r="N194" s="127">
        <f>AVERAGE($I$194:$K$194)</f>
        <v>0.35251866059161224</v>
      </c>
      <c r="O194" s="126">
        <f>N194*(1-N194)</f>
        <v>0.22824925452630795</v>
      </c>
      <c r="P194" s="299"/>
      <c r="Q194" s="299"/>
      <c r="R194" s="299"/>
      <c r="S194" s="299"/>
      <c r="T194" s="299"/>
      <c r="U194" s="299"/>
      <c r="V194" s="299"/>
      <c r="W194" s="299"/>
      <c r="X194" s="299"/>
      <c r="Y194" s="299"/>
      <c r="Z194" s="107"/>
      <c r="AA194" s="107"/>
      <c r="AB194" s="107"/>
      <c r="AC194" s="107"/>
      <c r="AD194" s="107"/>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row>
    <row r="195" spans="1:55" ht="25" customHeight="1" x14ac:dyDescent="0.35">
      <c r="A195" s="124" t="s">
        <v>123</v>
      </c>
      <c r="B195" s="124"/>
      <c r="C195" s="124"/>
      <c r="D195" s="124"/>
      <c r="E195" s="124"/>
      <c r="F195" s="124"/>
      <c r="G195" s="124"/>
      <c r="H195" s="160">
        <f>H219/1000000000</f>
        <v>1.30984558</v>
      </c>
      <c r="I195" s="160">
        <f>I219/1000000000</f>
        <v>0.20915446700000001</v>
      </c>
      <c r="J195" s="160">
        <f>J219/1000000000</f>
        <v>0.21159963900000001</v>
      </c>
      <c r="K195" s="160">
        <f>K219/1000000000</f>
        <v>0.22068083299999999</v>
      </c>
      <c r="L195" s="160">
        <f>L219/1000000000</f>
        <v>0.84191704099999998</v>
      </c>
      <c r="M195" s="124"/>
      <c r="N195" s="124"/>
      <c r="O195" s="124"/>
      <c r="P195" s="303"/>
      <c r="Q195" s="303"/>
      <c r="R195" s="303"/>
      <c r="S195" s="303"/>
      <c r="T195" s="303"/>
      <c r="U195" s="303"/>
      <c r="V195" s="303"/>
      <c r="W195" s="303"/>
      <c r="X195" s="303"/>
      <c r="Y195" s="303"/>
      <c r="Z195" s="107"/>
      <c r="AA195" s="107"/>
      <c r="AB195" s="107"/>
      <c r="AC195" s="107"/>
      <c r="AD195" s="107"/>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row>
    <row r="196" spans="1:55" ht="25" customHeight="1" x14ac:dyDescent="0.35">
      <c r="A196" s="124"/>
      <c r="B196" s="124"/>
      <c r="C196" s="124"/>
      <c r="D196" s="124"/>
      <c r="E196" s="124"/>
      <c r="F196" s="124"/>
      <c r="G196" s="124"/>
      <c r="H196" s="124"/>
      <c r="I196" s="126">
        <f>I195/H195-1</f>
        <v>-0.84032127894037711</v>
      </c>
      <c r="J196" s="126">
        <f t="shared" ref="J196:L196" si="226">J195/I195-1</f>
        <v>1.1690747202640406E-2</v>
      </c>
      <c r="K196" s="126">
        <f t="shared" si="226"/>
        <v>4.2916869059497653E-2</v>
      </c>
      <c r="L196" s="126">
        <f t="shared" si="226"/>
        <v>2.8150891020064259</v>
      </c>
      <c r="M196" s="127">
        <f>AVERAGE($I$196:$K$196)</f>
        <v>-0.26190455422607967</v>
      </c>
      <c r="N196" s="127">
        <f>AVERAGE($I$196:$K$196)</f>
        <v>-0.26190455422607967</v>
      </c>
      <c r="O196" s="126">
        <f>N196*(1-N196)</f>
        <v>-0.33049854975044118</v>
      </c>
      <c r="P196" s="299"/>
      <c r="Q196" s="299"/>
      <c r="R196" s="299"/>
      <c r="S196" s="299"/>
      <c r="T196" s="299"/>
      <c r="U196" s="299"/>
      <c r="V196" s="299"/>
      <c r="W196" s="299"/>
      <c r="X196" s="299"/>
      <c r="Y196" s="299"/>
      <c r="Z196" s="107"/>
      <c r="AA196" s="107"/>
      <c r="AB196" s="107"/>
      <c r="AC196" s="107"/>
      <c r="AD196" s="107"/>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row>
    <row r="197" spans="1:55" ht="25" customHeight="1" x14ac:dyDescent="0.35">
      <c r="A197" s="235" t="s">
        <v>124</v>
      </c>
      <c r="B197" s="235"/>
      <c r="C197" s="235"/>
      <c r="D197" s="235"/>
      <c r="E197" s="235"/>
      <c r="F197" s="235"/>
      <c r="G197" s="235"/>
      <c r="H197" s="235"/>
      <c r="I197" s="235"/>
      <c r="J197" s="235"/>
      <c r="K197" s="235"/>
      <c r="L197" s="235"/>
      <c r="M197" s="235"/>
      <c r="N197" s="235"/>
      <c r="O197" s="235"/>
      <c r="P197" s="304"/>
      <c r="Q197" s="304"/>
      <c r="R197" s="304"/>
      <c r="S197" s="304"/>
      <c r="T197" s="304"/>
      <c r="U197" s="304"/>
      <c r="V197" s="304"/>
      <c r="W197" s="304"/>
      <c r="X197" s="304"/>
      <c r="Y197" s="304"/>
      <c r="Z197" s="107"/>
      <c r="AA197" s="107"/>
      <c r="AB197" s="107"/>
      <c r="AC197" s="107"/>
      <c r="AD197" s="107"/>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row>
    <row r="198" spans="1:55" ht="25" customHeight="1" x14ac:dyDescent="0.35">
      <c r="A198" s="121" t="s">
        <v>124</v>
      </c>
      <c r="B198" s="121"/>
      <c r="C198" s="121"/>
      <c r="D198" s="121"/>
      <c r="E198" s="121"/>
      <c r="F198" s="121"/>
      <c r="G198" s="121"/>
      <c r="H198" s="121">
        <f>SUM(H200:H201)/1000000000</f>
        <v>13399.237138222999</v>
      </c>
      <c r="I198" s="121">
        <f t="shared" ref="I198:L198" si="227">SUM(I200:I201)/1000000000</f>
        <v>14389.756969807</v>
      </c>
      <c r="J198" s="121">
        <f t="shared" si="227"/>
        <v>1958.1554562849999</v>
      </c>
      <c r="K198" s="121">
        <f t="shared" si="227"/>
        <v>14517.982829389</v>
      </c>
      <c r="L198" s="121">
        <f t="shared" si="227"/>
        <v>14144.057927948999</v>
      </c>
      <c r="M198" s="121">
        <f>L198*(1+$L$203)</f>
        <v>14413.165269087327</v>
      </c>
      <c r="N198" s="121">
        <f>M198*(1+$L$203)</f>
        <v>14687.392693968486</v>
      </c>
      <c r="O198" s="121">
        <f>N198*(1+$L$203)</f>
        <v>14966.837618208945</v>
      </c>
      <c r="P198" s="301"/>
      <c r="Q198" s="301"/>
      <c r="R198" s="301"/>
      <c r="S198" s="301"/>
      <c r="T198" s="301"/>
      <c r="U198" s="301"/>
      <c r="V198" s="301"/>
      <c r="W198" s="301"/>
      <c r="X198" s="301"/>
      <c r="Y198" s="301"/>
      <c r="Z198" s="107"/>
      <c r="AA198" s="107"/>
      <c r="AB198" s="107"/>
      <c r="AC198" s="107"/>
      <c r="AD198" s="107"/>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row>
    <row r="199" spans="1:55" ht="25" customHeight="1" x14ac:dyDescent="0.35">
      <c r="A199" s="124"/>
      <c r="B199" s="124"/>
      <c r="C199" s="124"/>
      <c r="D199" s="124"/>
      <c r="E199" s="124"/>
      <c r="F199" s="124"/>
      <c r="G199" s="124"/>
      <c r="H199" s="156"/>
      <c r="I199" s="159">
        <f>I198/H198-1</f>
        <v>7.3923598885970776E-2</v>
      </c>
      <c r="J199" s="159">
        <f t="shared" ref="J199:L199" si="228">J198/I198-1</f>
        <v>-0.8639201856991986</v>
      </c>
      <c r="K199" s="159">
        <f t="shared" si="228"/>
        <v>6.4141114704613011</v>
      </c>
      <c r="L199" s="159">
        <f t="shared" si="228"/>
        <v>-2.5755981794045035E-2</v>
      </c>
      <c r="M199" s="124"/>
      <c r="N199" s="124"/>
      <c r="O199" s="124"/>
      <c r="P199" s="303"/>
      <c r="Q199" s="303"/>
      <c r="R199" s="303"/>
      <c r="S199" s="303"/>
      <c r="T199" s="303"/>
      <c r="U199" s="303"/>
      <c r="V199" s="303"/>
      <c r="W199" s="303"/>
      <c r="X199" s="303"/>
      <c r="Y199" s="303"/>
      <c r="Z199" s="107"/>
      <c r="AA199" s="107"/>
      <c r="AB199" s="107"/>
      <c r="AC199" s="107"/>
      <c r="AD199" s="107"/>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row>
    <row r="200" spans="1:55" ht="25" customHeight="1" x14ac:dyDescent="0.35">
      <c r="A200" s="124" t="s">
        <v>125</v>
      </c>
      <c r="B200" s="124"/>
      <c r="C200" s="124"/>
      <c r="D200" s="124"/>
      <c r="E200" s="124"/>
      <c r="F200" s="124"/>
      <c r="G200" s="124"/>
      <c r="H200" s="156">
        <v>1133300231790</v>
      </c>
      <c r="I200" s="156">
        <v>1396302416955</v>
      </c>
      <c r="J200" s="156">
        <v>1958155456285</v>
      </c>
      <c r="K200" s="156">
        <v>1567312426985</v>
      </c>
      <c r="L200" s="156">
        <v>1595845681078</v>
      </c>
      <c r="M200" s="124"/>
      <c r="N200" s="124"/>
      <c r="O200" s="124"/>
      <c r="P200" s="303"/>
      <c r="Q200" s="303"/>
      <c r="R200" s="303"/>
      <c r="S200" s="303"/>
      <c r="T200" s="303"/>
      <c r="U200" s="303"/>
      <c r="V200" s="303"/>
      <c r="W200" s="303"/>
      <c r="X200" s="303"/>
      <c r="Y200" s="303"/>
      <c r="Z200" s="107"/>
      <c r="AA200" s="107"/>
      <c r="AB200" s="107"/>
      <c r="AC200" s="107"/>
      <c r="AD200" s="107"/>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row>
    <row r="201" spans="1:55" ht="25" customHeight="1" x14ac:dyDescent="0.35">
      <c r="A201" s="124" t="s">
        <v>126</v>
      </c>
      <c r="B201" s="124"/>
      <c r="C201" s="124"/>
      <c r="D201" s="124"/>
      <c r="E201" s="124"/>
      <c r="F201" s="124"/>
      <c r="G201" s="124"/>
      <c r="H201" s="156">
        <v>12265936906433</v>
      </c>
      <c r="I201" s="156">
        <v>12993454552852</v>
      </c>
      <c r="J201" s="165" t="s">
        <v>127</v>
      </c>
      <c r="K201" s="156">
        <v>12950670402404</v>
      </c>
      <c r="L201" s="156">
        <v>12548212246871</v>
      </c>
      <c r="M201" s="124"/>
      <c r="N201" s="124"/>
      <c r="O201" s="124"/>
      <c r="P201" s="303"/>
      <c r="Q201" s="303"/>
      <c r="R201" s="303"/>
      <c r="S201" s="303"/>
      <c r="T201" s="303"/>
      <c r="U201" s="303"/>
      <c r="V201" s="303"/>
      <c r="W201" s="303"/>
      <c r="X201" s="303"/>
      <c r="Y201" s="303"/>
      <c r="Z201" s="107"/>
      <c r="AA201" s="107"/>
      <c r="AB201" s="107"/>
      <c r="AC201" s="107"/>
      <c r="AD201" s="107"/>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row>
    <row r="202" spans="1:55" ht="25" customHeight="1" x14ac:dyDescent="0.35">
      <c r="A202" s="124" t="s">
        <v>128</v>
      </c>
      <c r="B202" s="124"/>
      <c r="C202" s="124"/>
      <c r="D202" s="124"/>
      <c r="E202" s="124"/>
      <c r="F202" s="124"/>
      <c r="G202" s="124"/>
      <c r="H202" s="166">
        <f>H198</f>
        <v>13399.237138222999</v>
      </c>
      <c r="I202" s="166">
        <f>I198</f>
        <v>14389.756969807</v>
      </c>
      <c r="J202" s="160">
        <f>K198</f>
        <v>14517.982829389</v>
      </c>
      <c r="K202" s="160">
        <f>L198</f>
        <v>14144.057927948999</v>
      </c>
      <c r="L202" s="159" t="s">
        <v>129</v>
      </c>
      <c r="M202" s="124"/>
      <c r="N202" s="124"/>
      <c r="O202" s="124"/>
      <c r="P202" s="303"/>
      <c r="Q202" s="303"/>
      <c r="R202" s="303"/>
      <c r="S202" s="303"/>
      <c r="T202" s="303"/>
      <c r="U202" s="303"/>
      <c r="V202" s="303"/>
      <c r="W202" s="303"/>
      <c r="X202" s="303"/>
      <c r="Y202" s="303"/>
      <c r="Z202" s="107"/>
      <c r="AA202" s="107"/>
      <c r="AB202" s="107"/>
      <c r="AC202" s="107"/>
      <c r="AD202" s="107"/>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row>
    <row r="203" spans="1:55" ht="25" customHeight="1" x14ac:dyDescent="0.35">
      <c r="A203" s="124"/>
      <c r="B203" s="124"/>
      <c r="C203" s="124"/>
      <c r="D203" s="124"/>
      <c r="E203" s="124"/>
      <c r="F203" s="124"/>
      <c r="G203" s="124"/>
      <c r="H203" s="124"/>
      <c r="I203" s="159">
        <f>I202/H202-1</f>
        <v>7.3923598885970776E-2</v>
      </c>
      <c r="J203" s="159">
        <f t="shared" ref="J203:K203" si="229">J202/I202-1</f>
        <v>8.9109121058157381E-3</v>
      </c>
      <c r="K203" s="159">
        <f t="shared" si="229"/>
        <v>-2.5755981794045035E-2</v>
      </c>
      <c r="L203" s="159">
        <f>AVERAGE(I203:K203)</f>
        <v>1.9026176399247158E-2</v>
      </c>
      <c r="M203" s="124">
        <f>M198/M3</f>
        <v>7.1673552881913403E-6</v>
      </c>
      <c r="N203" s="124">
        <f>N198/N3</f>
        <v>7.3370410747936486E-6</v>
      </c>
      <c r="O203" s="124">
        <f>O198/O3</f>
        <v>7.449130833895102E-6</v>
      </c>
      <c r="P203" s="303"/>
      <c r="Q203" s="303"/>
      <c r="R203" s="303"/>
      <c r="S203" s="303"/>
      <c r="T203" s="303"/>
      <c r="U203" s="303"/>
      <c r="V203" s="303"/>
      <c r="W203" s="303"/>
      <c r="X203" s="303"/>
      <c r="Y203" s="303"/>
      <c r="Z203" s="107"/>
      <c r="AA203" s="107"/>
      <c r="AB203" s="107"/>
      <c r="AC203" s="107"/>
      <c r="AD203" s="107"/>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row>
    <row r="204" spans="1:55" ht="25" customHeight="1" x14ac:dyDescent="0.35">
      <c r="A204" s="235" t="s">
        <v>130</v>
      </c>
      <c r="B204" s="235"/>
      <c r="C204" s="235"/>
      <c r="D204" s="235"/>
      <c r="E204" s="235"/>
      <c r="F204" s="235"/>
      <c r="G204" s="235"/>
      <c r="H204" s="235"/>
      <c r="I204" s="235"/>
      <c r="J204" s="235"/>
      <c r="K204" s="235"/>
      <c r="L204" s="235"/>
      <c r="M204" s="235"/>
      <c r="N204" s="235"/>
      <c r="O204" s="235"/>
      <c r="P204" s="304"/>
      <c r="Q204" s="304"/>
      <c r="R204" s="304"/>
      <c r="S204" s="304"/>
      <c r="T204" s="304"/>
      <c r="U204" s="304"/>
      <c r="V204" s="304"/>
      <c r="W204" s="304"/>
      <c r="X204" s="304"/>
      <c r="Y204" s="304"/>
      <c r="Z204" s="107"/>
      <c r="AA204" s="107"/>
      <c r="AB204" s="107"/>
      <c r="AC204" s="107"/>
      <c r="AD204" s="107"/>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row>
    <row r="205" spans="1:55" ht="25" customHeight="1" x14ac:dyDescent="0.35">
      <c r="A205" s="121" t="s">
        <v>131</v>
      </c>
      <c r="B205" s="121"/>
      <c r="C205" s="121"/>
      <c r="D205" s="121"/>
      <c r="E205" s="121"/>
      <c r="F205" s="121"/>
      <c r="G205" s="121"/>
      <c r="H205" s="121">
        <f>H207/1000000000</f>
        <v>450.24732998000002</v>
      </c>
      <c r="I205" s="121">
        <f>I207/1000000000</f>
        <v>249.44625917900001</v>
      </c>
      <c r="J205" s="121">
        <f>J207/1000000000</f>
        <v>212.38619513500001</v>
      </c>
      <c r="K205" s="121">
        <f>K207/1000000000</f>
        <v>422.82319229000001</v>
      </c>
      <c r="L205" s="121">
        <f>L207/1000000000</f>
        <v>289.02179912700001</v>
      </c>
      <c r="M205" s="121">
        <f>L205*(1+M206)</f>
        <v>294.78965937426142</v>
      </c>
      <c r="N205" s="121">
        <f t="shared" ref="N205:O205" si="230">M205*(1+N206)</f>
        <v>300.67262585895003</v>
      </c>
      <c r="O205" s="121">
        <f t="shared" si="230"/>
        <v>306.6729956973839</v>
      </c>
      <c r="P205" s="301"/>
      <c r="Q205" s="301"/>
      <c r="R205" s="301"/>
      <c r="S205" s="301"/>
      <c r="T205" s="301"/>
      <c r="U205" s="301"/>
      <c r="V205" s="301"/>
      <c r="W205" s="301"/>
      <c r="X205" s="301"/>
      <c r="Y205" s="301"/>
      <c r="Z205" s="107"/>
      <c r="AA205" s="107"/>
      <c r="AB205" s="107"/>
      <c r="AC205" s="107"/>
      <c r="AD205" s="107"/>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row>
    <row r="206" spans="1:55" ht="25" customHeight="1" x14ac:dyDescent="0.35">
      <c r="A206" s="124"/>
      <c r="B206" s="124"/>
      <c r="C206" s="124"/>
      <c r="D206" s="124"/>
      <c r="E206" s="124"/>
      <c r="F206" s="124"/>
      <c r="G206" s="124"/>
      <c r="H206" s="160"/>
      <c r="I206" s="126">
        <f>I205/H205-1</f>
        <v>-0.44597948156609746</v>
      </c>
      <c r="J206" s="126">
        <f t="shared" ref="J206:L206" si="231">J205/I205-1</f>
        <v>-0.14856933179104559</v>
      </c>
      <c r="K206" s="126">
        <f t="shared" si="231"/>
        <v>0.99082238853254556</v>
      </c>
      <c r="L206" s="126">
        <f t="shared" si="231"/>
        <v>-0.3164476206670096</v>
      </c>
      <c r="M206" s="127">
        <f>AVERAGE($I$206:$L$206)</f>
        <v>1.9956488627098229E-2</v>
      </c>
      <c r="N206" s="127">
        <f>AVERAGE($I$206:$L$206)</f>
        <v>1.9956488627098229E-2</v>
      </c>
      <c r="O206" s="127">
        <f>AVERAGE($I$206:$L$206)</f>
        <v>1.9956488627098229E-2</v>
      </c>
      <c r="P206" s="300"/>
      <c r="Q206" s="300"/>
      <c r="R206" s="300"/>
      <c r="S206" s="300"/>
      <c r="T206" s="300"/>
      <c r="U206" s="300"/>
      <c r="V206" s="300"/>
      <c r="W206" s="300"/>
      <c r="X206" s="300"/>
      <c r="Y206" s="300"/>
      <c r="Z206" s="107"/>
      <c r="AA206" s="107"/>
      <c r="AB206" s="107"/>
      <c r="AC206" s="107"/>
      <c r="AD206" s="107"/>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row>
    <row r="207" spans="1:55" ht="25" customHeight="1" x14ac:dyDescent="0.35">
      <c r="A207" s="124"/>
      <c r="B207" s="124"/>
      <c r="C207" s="124"/>
      <c r="D207" s="124"/>
      <c r="E207" s="124"/>
      <c r="F207" s="124"/>
      <c r="G207" s="124"/>
      <c r="H207" s="156">
        <v>450247329980</v>
      </c>
      <c r="I207" s="156">
        <v>249446259179</v>
      </c>
      <c r="J207" s="156">
        <v>212386195135</v>
      </c>
      <c r="K207" s="156">
        <v>422823192290</v>
      </c>
      <c r="L207" s="156">
        <v>289021799127</v>
      </c>
      <c r="M207" s="124"/>
      <c r="N207" s="124"/>
      <c r="O207" s="124"/>
      <c r="P207" s="303"/>
      <c r="Q207" s="303"/>
      <c r="R207" s="303"/>
      <c r="S207" s="303"/>
      <c r="T207" s="303"/>
      <c r="U207" s="303"/>
      <c r="V207" s="303"/>
      <c r="W207" s="303"/>
      <c r="X207" s="303"/>
      <c r="Y207" s="303"/>
      <c r="Z207" s="107"/>
      <c r="AA207" s="107"/>
      <c r="AB207" s="107"/>
      <c r="AC207" s="107"/>
      <c r="AD207" s="107"/>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row>
    <row r="208" spans="1:55" ht="25" customHeight="1" x14ac:dyDescent="0.35">
      <c r="A208" s="235" t="s">
        <v>132</v>
      </c>
      <c r="B208" s="235"/>
      <c r="C208" s="235"/>
      <c r="D208" s="235"/>
      <c r="E208" s="235"/>
      <c r="F208" s="235"/>
      <c r="G208" s="235"/>
      <c r="H208" s="235"/>
      <c r="I208" s="235"/>
      <c r="J208" s="235"/>
      <c r="K208" s="235"/>
      <c r="L208" s="235"/>
      <c r="M208" s="235"/>
      <c r="N208" s="235"/>
      <c r="O208" s="235"/>
      <c r="P208" s="304"/>
      <c r="Q208" s="304"/>
      <c r="R208" s="304"/>
      <c r="S208" s="304"/>
      <c r="T208" s="304"/>
      <c r="U208" s="304"/>
      <c r="V208" s="304"/>
      <c r="W208" s="304"/>
      <c r="X208" s="304"/>
      <c r="Y208" s="304"/>
      <c r="Z208" s="107"/>
      <c r="AA208" s="107"/>
      <c r="AB208" s="107"/>
      <c r="AC208" s="107"/>
      <c r="AD208" s="107"/>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row>
    <row r="209" spans="1:55" ht="25" customHeight="1" x14ac:dyDescent="0.35">
      <c r="A209" s="121" t="s">
        <v>133</v>
      </c>
      <c r="B209" s="121"/>
      <c r="C209" s="121"/>
      <c r="D209" s="121"/>
      <c r="E209" s="121"/>
      <c r="F209" s="121"/>
      <c r="G209" s="121"/>
      <c r="H209" s="121">
        <f>H211/1000000000</f>
        <v>275.06450460899998</v>
      </c>
      <c r="I209" s="121">
        <f>I211/1000000000</f>
        <v>250.82673599399999</v>
      </c>
      <c r="J209" s="121">
        <f>J211/1000000000</f>
        <v>233.23093252699999</v>
      </c>
      <c r="K209" s="121">
        <f>K211/1000000000</f>
        <v>228.207525562</v>
      </c>
      <c r="L209" s="121">
        <f>L211/1000000000</f>
        <v>284.551949482</v>
      </c>
      <c r="M209" s="121">
        <f>L209*(1+M210)</f>
        <v>289.32486022591871</v>
      </c>
      <c r="N209" s="121">
        <f t="shared" ref="N209:O209" si="232">M209*(1+N210)</f>
        <v>294.17782902957271</v>
      </c>
      <c r="O209" s="121">
        <f t="shared" si="232"/>
        <v>299.11219874081149</v>
      </c>
      <c r="P209" s="301"/>
      <c r="Q209" s="301"/>
      <c r="R209" s="301"/>
      <c r="S209" s="301"/>
      <c r="T209" s="301"/>
      <c r="U209" s="301"/>
      <c r="V209" s="301"/>
      <c r="W209" s="301"/>
      <c r="X209" s="301"/>
      <c r="Y209" s="301"/>
      <c r="Z209" s="107"/>
      <c r="AA209" s="107"/>
      <c r="AB209" s="107"/>
      <c r="AC209" s="107"/>
      <c r="AD209" s="107"/>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row>
    <row r="210" spans="1:55" ht="25" customHeight="1" x14ac:dyDescent="0.35">
      <c r="A210" s="124"/>
      <c r="B210" s="124"/>
      <c r="C210" s="124"/>
      <c r="D210" s="124"/>
      <c r="E210" s="124"/>
      <c r="F210" s="124"/>
      <c r="G210" s="124"/>
      <c r="H210" s="160"/>
      <c r="I210" s="126">
        <f>I209/H209-1</f>
        <v>-8.8116671576558447E-2</v>
      </c>
      <c r="J210" s="126">
        <f t="shared" ref="J210:L210" si="233">J209/I209-1</f>
        <v>-7.015122768818749E-2</v>
      </c>
      <c r="K210" s="126">
        <f t="shared" si="233"/>
        <v>-2.1538339321343858E-2</v>
      </c>
      <c r="L210" s="126">
        <f t="shared" si="233"/>
        <v>0.24689993803334143</v>
      </c>
      <c r="M210" s="127">
        <f>AVERAGE($I$210:$L$210)</f>
        <v>1.6773424861812908E-2</v>
      </c>
      <c r="N210" s="127">
        <f>AVERAGE($I$210:$L$210)</f>
        <v>1.6773424861812908E-2</v>
      </c>
      <c r="O210" s="127">
        <f>AVERAGE($I$210:$L$210)</f>
        <v>1.6773424861812908E-2</v>
      </c>
      <c r="P210" s="300"/>
      <c r="Q210" s="300"/>
      <c r="R210" s="300"/>
      <c r="S210" s="300"/>
      <c r="T210" s="300"/>
      <c r="U210" s="300"/>
      <c r="V210" s="300"/>
      <c r="W210" s="300"/>
      <c r="X210" s="300"/>
      <c r="Y210" s="300"/>
      <c r="Z210" s="107"/>
      <c r="AA210" s="107"/>
      <c r="AB210" s="107"/>
      <c r="AC210" s="107"/>
      <c r="AD210" s="107"/>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row>
    <row r="211" spans="1:55" ht="25" customHeight="1" x14ac:dyDescent="0.35">
      <c r="A211" s="124"/>
      <c r="B211" s="124"/>
      <c r="C211" s="124"/>
      <c r="D211" s="124"/>
      <c r="E211" s="124"/>
      <c r="F211" s="124"/>
      <c r="G211" s="124"/>
      <c r="H211" s="156">
        <v>275064504609</v>
      </c>
      <c r="I211" s="156">
        <v>250826735994</v>
      </c>
      <c r="J211" s="156">
        <v>233230932527</v>
      </c>
      <c r="K211" s="156">
        <v>228207525562</v>
      </c>
      <c r="L211" s="156">
        <v>284551949482</v>
      </c>
      <c r="M211" s="124"/>
      <c r="N211" s="124"/>
      <c r="O211" s="124"/>
      <c r="P211" s="303"/>
      <c r="Q211" s="303"/>
      <c r="R211" s="303"/>
      <c r="S211" s="303"/>
      <c r="T211" s="303"/>
      <c r="U211" s="303"/>
      <c r="V211" s="303"/>
      <c r="W211" s="303"/>
      <c r="X211" s="303"/>
      <c r="Y211" s="303"/>
      <c r="Z211" s="107"/>
      <c r="AA211" s="107"/>
      <c r="AB211" s="107"/>
      <c r="AC211" s="107"/>
      <c r="AD211" s="107"/>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row>
    <row r="212" spans="1:55" ht="25" customHeight="1" x14ac:dyDescent="0.35">
      <c r="A212" s="235" t="s">
        <v>134</v>
      </c>
      <c r="B212" s="235"/>
      <c r="C212" s="235"/>
      <c r="D212" s="235"/>
      <c r="E212" s="235"/>
      <c r="F212" s="235"/>
      <c r="G212" s="235"/>
      <c r="H212" s="235"/>
      <c r="I212" s="235"/>
      <c r="J212" s="235"/>
      <c r="K212" s="235"/>
      <c r="L212" s="235"/>
      <c r="M212" s="235"/>
      <c r="N212" s="235"/>
      <c r="O212" s="235"/>
      <c r="P212" s="304"/>
      <c r="Q212" s="304"/>
      <c r="R212" s="304"/>
      <c r="S212" s="304"/>
      <c r="T212" s="304"/>
      <c r="U212" s="304"/>
      <c r="V212" s="304"/>
      <c r="W212" s="304"/>
      <c r="X212" s="304"/>
      <c r="Y212" s="304"/>
      <c r="Z212" s="107"/>
      <c r="AA212" s="107"/>
      <c r="AB212" s="107"/>
      <c r="AC212" s="107"/>
      <c r="AD212" s="107"/>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row>
    <row r="213" spans="1:55" ht="25" customHeight="1" x14ac:dyDescent="0.35">
      <c r="A213" s="121" t="s">
        <v>135</v>
      </c>
      <c r="B213" s="121"/>
      <c r="C213" s="121"/>
      <c r="D213" s="121"/>
      <c r="E213" s="121"/>
      <c r="F213" s="121"/>
      <c r="G213" s="121"/>
      <c r="H213" s="121">
        <f>H215/1000000000</f>
        <v>1846.066554884</v>
      </c>
      <c r="I213" s="121">
        <f t="shared" ref="I213:L213" si="234">I215/1000000000</f>
        <v>2241.377757666</v>
      </c>
      <c r="J213" s="121">
        <f t="shared" si="234"/>
        <v>2282.803852899</v>
      </c>
      <c r="K213" s="121">
        <f t="shared" si="234"/>
        <v>2289.6995144409998</v>
      </c>
      <c r="L213" s="121">
        <f t="shared" si="234"/>
        <v>1917.959357037</v>
      </c>
      <c r="M213" s="121">
        <f>L213*(1+M214)</f>
        <v>1953.0996806361595</v>
      </c>
      <c r="N213" s="121">
        <f t="shared" ref="N213:O213" si="235">M213*(1+N214)</f>
        <v>1988.883835575187</v>
      </c>
      <c r="O213" s="121">
        <f t="shared" si="235"/>
        <v>2025.3236179547368</v>
      </c>
      <c r="P213" s="301"/>
      <c r="Q213" s="301"/>
      <c r="R213" s="301"/>
      <c r="S213" s="301"/>
      <c r="T213" s="301"/>
      <c r="U213" s="301"/>
      <c r="V213" s="301"/>
      <c r="W213" s="301"/>
      <c r="X213" s="301"/>
      <c r="Y213" s="301"/>
      <c r="Z213" s="107"/>
      <c r="AA213" s="107"/>
      <c r="AB213" s="107"/>
      <c r="AC213" s="107"/>
      <c r="AD213" s="107"/>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row>
    <row r="214" spans="1:55" ht="25" customHeight="1" x14ac:dyDescent="0.35">
      <c r="A214" s="124"/>
      <c r="B214" s="124"/>
      <c r="C214" s="124"/>
      <c r="D214" s="124"/>
      <c r="E214" s="124"/>
      <c r="F214" s="124"/>
      <c r="G214" s="124"/>
      <c r="H214" s="124"/>
      <c r="I214" s="159">
        <f>I213/H213-1</f>
        <v>0.21413702649893884</v>
      </c>
      <c r="J214" s="159">
        <f t="shared" ref="J214:L214" si="236">J213/I213-1</f>
        <v>1.8482424522735519E-2</v>
      </c>
      <c r="K214" s="159">
        <f t="shared" si="236"/>
        <v>3.0206982230394086E-3</v>
      </c>
      <c r="L214" s="159">
        <f t="shared" si="236"/>
        <v>-0.16235324987381816</v>
      </c>
      <c r="M214" s="167">
        <f>AVERAGE($I$214:$L$214)</f>
        <v>1.8321724842723902E-2</v>
      </c>
      <c r="N214" s="167">
        <f>AVERAGE($I$214:$L$214)</f>
        <v>1.8321724842723902E-2</v>
      </c>
      <c r="O214" s="167">
        <f>AVERAGE($I$214:$L$214)</f>
        <v>1.8321724842723902E-2</v>
      </c>
      <c r="P214" s="309"/>
      <c r="Q214" s="309"/>
      <c r="R214" s="309"/>
      <c r="S214" s="309"/>
      <c r="T214" s="309"/>
      <c r="U214" s="309"/>
      <c r="V214" s="309"/>
      <c r="W214" s="309"/>
      <c r="X214" s="309"/>
      <c r="Y214" s="309"/>
      <c r="Z214" s="107"/>
      <c r="AA214" s="107"/>
      <c r="AB214" s="107"/>
      <c r="AC214" s="107"/>
      <c r="AD214" s="107"/>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row>
    <row r="215" spans="1:55" ht="25" customHeight="1" x14ac:dyDescent="0.35">
      <c r="A215" s="124"/>
      <c r="B215" s="124"/>
      <c r="C215" s="124"/>
      <c r="D215" s="124"/>
      <c r="E215" s="124"/>
      <c r="F215" s="124"/>
      <c r="G215" s="124"/>
      <c r="H215" s="156">
        <v>1846066554884</v>
      </c>
      <c r="I215" s="156">
        <v>2241377757666</v>
      </c>
      <c r="J215" s="156">
        <v>2282803852899</v>
      </c>
      <c r="K215" s="156">
        <v>2289699514441</v>
      </c>
      <c r="L215" s="156">
        <v>1917959357037</v>
      </c>
      <c r="M215" s="124"/>
      <c r="N215" s="124"/>
      <c r="O215" s="124"/>
      <c r="P215" s="303"/>
      <c r="Q215" s="303"/>
      <c r="R215" s="303"/>
      <c r="S215" s="303"/>
      <c r="T215" s="303"/>
      <c r="U215" s="303"/>
      <c r="V215" s="303"/>
      <c r="W215" s="303"/>
      <c r="X215" s="303"/>
      <c r="Y215" s="303"/>
      <c r="Z215" s="107"/>
      <c r="AA215" s="107"/>
      <c r="AB215" s="107"/>
      <c r="AC215" s="107"/>
      <c r="AD215" s="107"/>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row>
    <row r="216" spans="1:55" ht="25" customHeight="1" x14ac:dyDescent="0.35">
      <c r="A216" s="124"/>
      <c r="B216" s="124"/>
      <c r="C216" s="124"/>
      <c r="D216" s="124"/>
      <c r="E216" s="124"/>
      <c r="F216" s="124"/>
      <c r="G216" s="124"/>
      <c r="H216" s="110">
        <v>2018</v>
      </c>
      <c r="I216" s="110">
        <v>2019</v>
      </c>
      <c r="J216" s="110">
        <v>2020</v>
      </c>
      <c r="K216" s="110">
        <v>2021</v>
      </c>
      <c r="L216" s="110">
        <v>2022</v>
      </c>
      <c r="M216" s="110" t="s">
        <v>50</v>
      </c>
      <c r="N216" s="110" t="s">
        <v>51</v>
      </c>
      <c r="O216" s="110" t="s">
        <v>52</v>
      </c>
      <c r="P216" s="295"/>
      <c r="Q216" s="295"/>
      <c r="R216" s="295"/>
      <c r="S216" s="295"/>
      <c r="T216" s="295"/>
      <c r="U216" s="295"/>
      <c r="V216" s="295"/>
      <c r="W216" s="295"/>
      <c r="X216" s="295"/>
      <c r="Y216" s="295"/>
      <c r="Z216" s="107"/>
      <c r="AA216" s="107"/>
      <c r="AB216" s="107"/>
      <c r="AC216" s="107"/>
      <c r="AD216" s="107"/>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row>
    <row r="217" spans="1:55" ht="25" customHeight="1" x14ac:dyDescent="0.35">
      <c r="A217" s="114" t="s">
        <v>136</v>
      </c>
      <c r="B217" s="114"/>
      <c r="C217" s="114"/>
      <c r="D217" s="114"/>
      <c r="E217" s="114"/>
      <c r="F217" s="114"/>
      <c r="G217" s="114"/>
      <c r="H217" s="114">
        <f t="shared" ref="H217:O217" si="237">H3-H176</f>
        <v>-42378.753979909998</v>
      </c>
      <c r="I217" s="114">
        <f t="shared" si="237"/>
        <v>2076467875.9257076</v>
      </c>
      <c r="J217" s="114">
        <f t="shared" si="237"/>
        <v>2069994896.7550693</v>
      </c>
      <c r="K217" s="114">
        <f t="shared" si="237"/>
        <v>2069746911.2016346</v>
      </c>
      <c r="L217" s="114">
        <f t="shared" si="237"/>
        <v>2034015295.297271</v>
      </c>
      <c r="M217" s="114" t="e">
        <f t="shared" si="237"/>
        <v>#DIV/0!</v>
      </c>
      <c r="N217" s="114" t="e">
        <f t="shared" si="237"/>
        <v>#DIV/0!</v>
      </c>
      <c r="O217" s="114" t="e">
        <f t="shared" si="237"/>
        <v>#DIV/0!</v>
      </c>
      <c r="P217" s="296"/>
      <c r="Q217" s="296"/>
      <c r="R217" s="296"/>
      <c r="S217" s="296"/>
      <c r="T217" s="296"/>
      <c r="U217" s="296"/>
      <c r="V217" s="296"/>
      <c r="W217" s="296"/>
      <c r="X217" s="296"/>
      <c r="Y217" s="296"/>
      <c r="Z217" s="107"/>
      <c r="AA217" s="107"/>
      <c r="AB217" s="107"/>
      <c r="AC217" s="107"/>
      <c r="AD217" s="107"/>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row>
    <row r="218" spans="1:55" ht="25" customHeight="1" x14ac:dyDescent="0.35">
      <c r="A218" s="96" t="s">
        <v>122</v>
      </c>
      <c r="B218" s="96"/>
      <c r="C218" s="96"/>
      <c r="D218" s="96"/>
      <c r="E218" s="96"/>
      <c r="F218" s="96"/>
      <c r="G218" s="96"/>
      <c r="H218" s="168">
        <v>51367418852</v>
      </c>
      <c r="I218" s="168">
        <v>108824893987</v>
      </c>
      <c r="J218" s="168">
        <v>143818465177</v>
      </c>
      <c r="K218" s="168">
        <v>88799090663</v>
      </c>
      <c r="L218" s="168">
        <v>166039091744</v>
      </c>
      <c r="M218" s="169" t="e">
        <f>M217/L217-1</f>
        <v>#DIV/0!</v>
      </c>
      <c r="N218" s="169" t="e">
        <f>N217/M217-1</f>
        <v>#DIV/0!</v>
      </c>
      <c r="O218" s="169" t="e">
        <f>O217/N217-1</f>
        <v>#DIV/0!</v>
      </c>
      <c r="P218" s="310"/>
      <c r="Q218" s="310"/>
      <c r="R218" s="310"/>
      <c r="S218" s="310"/>
      <c r="T218" s="310"/>
      <c r="U218" s="310"/>
      <c r="V218" s="310"/>
      <c r="W218" s="310"/>
      <c r="X218" s="310"/>
      <c r="Y218" s="310"/>
      <c r="Z218" s="107"/>
      <c r="AA218" s="107"/>
      <c r="AB218" s="107"/>
      <c r="AC218" s="107"/>
      <c r="AD218" s="107"/>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row>
    <row r="219" spans="1:55" ht="25" customHeight="1" x14ac:dyDescent="0.35">
      <c r="A219" s="96" t="s">
        <v>123</v>
      </c>
      <c r="B219" s="96"/>
      <c r="C219" s="96"/>
      <c r="D219" s="96"/>
      <c r="E219" s="96"/>
      <c r="F219" s="96"/>
      <c r="G219" s="96"/>
      <c r="H219" s="168">
        <v>1309845580</v>
      </c>
      <c r="I219" s="168">
        <v>209154467</v>
      </c>
      <c r="J219" s="168">
        <v>211599639</v>
      </c>
      <c r="K219" s="168">
        <v>220680833</v>
      </c>
      <c r="L219" s="168">
        <v>841917041</v>
      </c>
      <c r="M219" s="96"/>
      <c r="N219" s="96"/>
      <c r="O219" s="96"/>
      <c r="Z219" s="107"/>
      <c r="AA219" s="107"/>
      <c r="AB219" s="107"/>
      <c r="AC219" s="107"/>
      <c r="AD219" s="107"/>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row>
    <row r="220" spans="1:55" ht="25" customHeight="1" x14ac:dyDescent="0.35">
      <c r="A220" s="96" t="s">
        <v>13</v>
      </c>
      <c r="B220" s="96"/>
      <c r="C220" s="96"/>
      <c r="D220" s="96"/>
      <c r="E220" s="96"/>
      <c r="F220" s="96"/>
      <c r="G220" s="96"/>
      <c r="H220" s="96">
        <v>27950543501501</v>
      </c>
      <c r="I220" s="96">
        <v>29745906112117</v>
      </c>
      <c r="J220" s="96">
        <v>31967662837839</v>
      </c>
      <c r="K220" s="96">
        <v>34640863353839</v>
      </c>
      <c r="L220" s="96">
        <v>36059015690711</v>
      </c>
      <c r="M220" s="96"/>
      <c r="N220" s="96"/>
      <c r="O220" s="96"/>
      <c r="Z220" s="107"/>
      <c r="AA220" s="107"/>
      <c r="AB220" s="107"/>
      <c r="AC220" s="107"/>
      <c r="AD220" s="107"/>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row>
    <row r="221" spans="1:55" ht="25" customHeight="1" x14ac:dyDescent="0.35">
      <c r="A221" s="96" t="s">
        <v>31</v>
      </c>
      <c r="B221" s="96"/>
      <c r="C221" s="96"/>
      <c r="D221" s="96"/>
      <c r="E221" s="96"/>
      <c r="F221" s="96"/>
      <c r="G221" s="96"/>
      <c r="H221" s="96"/>
      <c r="I221" s="96">
        <f>I220/H220-1</f>
        <v>6.4233549180164884E-2</v>
      </c>
      <c r="J221" s="96">
        <f>J220/I220-1</f>
        <v>7.4691176572259987E-2</v>
      </c>
      <c r="K221" s="96">
        <f>K220/J220-1</f>
        <v>8.3622019212359344E-2</v>
      </c>
      <c r="L221" s="96">
        <f>L220/K220-1</f>
        <v>4.0938712248199005E-2</v>
      </c>
      <c r="M221" s="96"/>
      <c r="N221" s="96"/>
      <c r="O221" s="96"/>
      <c r="Z221" s="107"/>
      <c r="AA221" s="107"/>
      <c r="AB221" s="107"/>
      <c r="AC221" s="107"/>
      <c r="AD221" s="107"/>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row>
    <row r="222" spans="1:55" ht="25" customHeight="1" x14ac:dyDescent="0.35">
      <c r="A222" s="96" t="s">
        <v>137</v>
      </c>
      <c r="B222" s="96"/>
      <c r="C222" s="96"/>
      <c r="D222" s="96"/>
      <c r="E222" s="96"/>
      <c r="F222" s="96"/>
      <c r="G222" s="96"/>
      <c r="H222" s="96"/>
      <c r="I222" s="96"/>
      <c r="J222" s="96"/>
      <c r="K222" s="96"/>
      <c r="L222" s="96"/>
      <c r="M222" s="96"/>
      <c r="N222" s="96"/>
      <c r="O222" s="96"/>
      <c r="Z222" s="107"/>
      <c r="AA222" s="107"/>
      <c r="AB222" s="107"/>
      <c r="AC222" s="107"/>
      <c r="AD222" s="107"/>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row>
    <row r="223" spans="1:55" ht="25" customHeight="1" x14ac:dyDescent="0.35">
      <c r="A223" s="96"/>
      <c r="B223" s="96"/>
      <c r="C223" s="96"/>
      <c r="D223" s="96"/>
      <c r="E223" s="96"/>
      <c r="F223" s="96"/>
      <c r="G223" s="96"/>
      <c r="H223" s="96"/>
      <c r="I223" s="96"/>
      <c r="J223" s="96"/>
      <c r="K223" s="96"/>
      <c r="L223" s="96"/>
      <c r="M223" s="96"/>
      <c r="N223" s="96"/>
      <c r="O223" s="96"/>
      <c r="Z223" s="107"/>
      <c r="AA223" s="107"/>
      <c r="AB223" s="107"/>
      <c r="AC223" s="107"/>
      <c r="AD223" s="107"/>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row>
    <row r="224" spans="1:55" ht="25" customHeight="1" x14ac:dyDescent="0.35">
      <c r="A224" s="235" t="s">
        <v>10</v>
      </c>
      <c r="B224" s="235"/>
      <c r="C224" s="235"/>
      <c r="D224" s="235"/>
      <c r="E224" s="235"/>
      <c r="F224" s="235"/>
      <c r="G224" s="235"/>
      <c r="H224" s="235"/>
      <c r="I224" s="235"/>
      <c r="J224" s="235"/>
      <c r="K224" s="235"/>
      <c r="L224" s="235"/>
      <c r="M224" s="235"/>
      <c r="N224" s="235"/>
      <c r="O224" s="235"/>
      <c r="P224" s="304"/>
      <c r="Q224" s="304"/>
      <c r="R224" s="304"/>
      <c r="S224" s="304"/>
      <c r="T224" s="304"/>
      <c r="U224" s="304"/>
      <c r="V224" s="304"/>
      <c r="W224" s="304"/>
      <c r="X224" s="304"/>
      <c r="Y224" s="304"/>
      <c r="Z224" s="107"/>
      <c r="AA224" s="107"/>
      <c r="AB224" s="107"/>
      <c r="AC224" s="107"/>
      <c r="AD224" s="107"/>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row>
    <row r="225" spans="1:55" ht="25" customHeight="1" x14ac:dyDescent="0.35">
      <c r="A225" s="96"/>
      <c r="B225" s="96"/>
      <c r="C225" s="96"/>
      <c r="D225" s="96"/>
      <c r="E225" s="96"/>
      <c r="F225" s="96"/>
      <c r="G225" s="96"/>
      <c r="H225" s="170">
        <v>1627</v>
      </c>
      <c r="I225" s="170">
        <v>1948</v>
      </c>
      <c r="J225" s="170">
        <v>2209</v>
      </c>
      <c r="K225" s="170">
        <v>2121</v>
      </c>
      <c r="L225" s="170">
        <v>2095</v>
      </c>
      <c r="M225" s="170">
        <f>L225*(1+AVERAGE($I$226:$L$226))</f>
        <v>2241.2225204932265</v>
      </c>
      <c r="N225" s="170">
        <f>M225*(1+AVERAGE($I$226:$L$226))</f>
        <v>2397.6507810816283</v>
      </c>
      <c r="O225" s="170">
        <f>N225*(1+AVERAGE($I$226:$L$226))</f>
        <v>2564.9971011161433</v>
      </c>
      <c r="P225" s="245"/>
      <c r="Q225" s="245"/>
      <c r="R225" s="245"/>
      <c r="S225" s="245"/>
      <c r="T225" s="245"/>
      <c r="U225" s="245"/>
      <c r="V225" s="245"/>
      <c r="W225" s="245"/>
      <c r="X225" s="245"/>
      <c r="Y225" s="245"/>
      <c r="Z225" s="107"/>
      <c r="AA225" s="107"/>
      <c r="AB225" s="107"/>
      <c r="AC225" s="107"/>
      <c r="AD225" s="107"/>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row>
    <row r="226" spans="1:55" ht="25" customHeight="1" x14ac:dyDescent="0.35">
      <c r="A226" s="96" t="s">
        <v>31</v>
      </c>
      <c r="B226" s="96"/>
      <c r="C226" s="96"/>
      <c r="D226" s="96"/>
      <c r="E226" s="96"/>
      <c r="F226" s="96"/>
      <c r="G226" s="96"/>
      <c r="H226" s="96"/>
      <c r="I226" s="104">
        <f>I225/H225-1</f>
        <v>0.19729563614013523</v>
      </c>
      <c r="J226" s="104">
        <f t="shared" ref="J226:L226" si="238">J225/I225-1</f>
        <v>0.13398357289527718</v>
      </c>
      <c r="K226" s="104">
        <f t="shared" si="238"/>
        <v>-3.9837030330466261E-2</v>
      </c>
      <c r="L226" s="104">
        <f t="shared" si="238"/>
        <v>-1.2258368694012312E-2</v>
      </c>
      <c r="M226" s="96"/>
      <c r="N226" s="96"/>
      <c r="O226" s="96"/>
      <c r="Z226" s="107"/>
      <c r="AA226" s="107"/>
      <c r="AB226" s="107"/>
      <c r="AC226" s="107"/>
      <c r="AD226" s="107"/>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row>
    <row r="227" spans="1:55" ht="25" customHeight="1" x14ac:dyDescent="0.35">
      <c r="A227" s="235" t="s">
        <v>138</v>
      </c>
      <c r="B227" s="235"/>
      <c r="C227" s="235"/>
      <c r="D227" s="235"/>
      <c r="E227" s="235"/>
      <c r="F227" s="235"/>
      <c r="G227" s="235"/>
      <c r="H227" s="235"/>
      <c r="I227" s="235"/>
      <c r="J227" s="235"/>
      <c r="K227" s="235"/>
      <c r="L227" s="235"/>
      <c r="M227" s="235"/>
      <c r="N227" s="235"/>
      <c r="O227" s="235"/>
      <c r="P227" s="304"/>
      <c r="Q227" s="304"/>
      <c r="R227" s="304"/>
      <c r="S227" s="304"/>
      <c r="T227" s="304"/>
      <c r="U227" s="304"/>
      <c r="V227" s="304"/>
      <c r="W227" s="304"/>
      <c r="X227" s="304"/>
      <c r="Y227" s="304"/>
      <c r="Z227" s="107"/>
      <c r="AA227" s="107"/>
      <c r="AB227" s="107"/>
      <c r="AC227" s="107"/>
      <c r="AD227" s="107"/>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row>
    <row r="228" spans="1:55" ht="25" customHeight="1" x14ac:dyDescent="0.35">
      <c r="A228" s="96"/>
      <c r="B228" s="96"/>
      <c r="C228" s="96"/>
      <c r="D228" s="96"/>
      <c r="E228" s="96"/>
      <c r="F228" s="96"/>
      <c r="G228" s="96"/>
      <c r="H228" s="170">
        <v>57</v>
      </c>
      <c r="I228" s="170">
        <v>68</v>
      </c>
      <c r="J228" s="170">
        <v>608</v>
      </c>
      <c r="K228" s="170">
        <v>246</v>
      </c>
      <c r="L228" s="170">
        <v>246</v>
      </c>
      <c r="M228" s="170">
        <f>AVERAGE($H$228:$L$228)</f>
        <v>245</v>
      </c>
      <c r="N228" s="170">
        <f>AVERAGE($H$228:$L$228)</f>
        <v>245</v>
      </c>
      <c r="O228" s="170">
        <f>AVERAGE($H$228:$L$228)</f>
        <v>245</v>
      </c>
      <c r="P228" s="245"/>
      <c r="Q228" s="245"/>
      <c r="R228" s="245"/>
      <c r="S228" s="245"/>
      <c r="T228" s="245"/>
      <c r="U228" s="245"/>
      <c r="V228" s="245"/>
      <c r="W228" s="245"/>
      <c r="X228" s="245"/>
      <c r="Y228" s="245"/>
      <c r="Z228" s="107"/>
      <c r="AA228" s="107"/>
      <c r="AB228" s="107"/>
      <c r="AC228" s="107"/>
      <c r="AD228" s="107"/>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row>
    <row r="229" spans="1:55" ht="25" customHeight="1" x14ac:dyDescent="0.35">
      <c r="H229" s="245"/>
      <c r="I229" s="245"/>
      <c r="J229" s="245"/>
      <c r="K229" s="245"/>
      <c r="L229" s="245"/>
      <c r="Z229" s="107"/>
      <c r="AA229" s="107"/>
      <c r="AB229" s="107"/>
      <c r="AC229" s="107"/>
      <c r="AD229" s="107"/>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row>
    <row r="230" spans="1:55" ht="25" customHeight="1" x14ac:dyDescent="0.35">
      <c r="A230" s="247" t="s">
        <v>139</v>
      </c>
      <c r="B230" s="247"/>
      <c r="C230" s="247"/>
      <c r="D230" s="247"/>
      <c r="E230" s="247"/>
      <c r="F230" s="247"/>
      <c r="G230" s="247"/>
      <c r="H230" s="224">
        <f>H309/1000</f>
        <v>3368.7539999999999</v>
      </c>
      <c r="I230" s="224">
        <f>I309/1000</f>
        <v>3457.7040000000002</v>
      </c>
      <c r="J230" s="224">
        <f>J309/1000</f>
        <v>4157.1289999999999</v>
      </c>
      <c r="K230" s="224">
        <f>K309/1000</f>
        <v>4355.509</v>
      </c>
      <c r="L230" s="224">
        <f>L318/1000</f>
        <v>4620.4970000000003</v>
      </c>
      <c r="M230" s="178" t="e">
        <f>L230*(1+AVERAGE($I$232:$L$232))</f>
        <v>#DIV/0!</v>
      </c>
      <c r="N230" s="178" t="e">
        <f>M230*(1+AVERAGE($I$232:$L$232))</f>
        <v>#DIV/0!</v>
      </c>
      <c r="O230" s="178" t="e">
        <f>N230*(1-AVERAGE($I$232:$L$232))</f>
        <v>#DIV/0!</v>
      </c>
      <c r="P230" s="178"/>
      <c r="Q230" s="178"/>
      <c r="R230" s="178"/>
      <c r="S230" s="178"/>
      <c r="T230" s="178"/>
      <c r="U230" s="178"/>
      <c r="V230" s="178"/>
      <c r="W230" s="178"/>
      <c r="X230" s="178"/>
      <c r="Y230" s="178"/>
      <c r="Z230" s="107"/>
      <c r="AA230" s="107"/>
      <c r="AB230" s="107"/>
      <c r="AC230" s="107"/>
      <c r="AD230" s="107"/>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row>
    <row r="231" spans="1:55" ht="25" customHeight="1" x14ac:dyDescent="0.35">
      <c r="H231" s="246" t="e">
        <f>H230/H3</f>
        <v>#DIV/0!</v>
      </c>
      <c r="I231" s="246">
        <f>I230/I3</f>
        <v>1.6651487105044469E-6</v>
      </c>
      <c r="J231" s="246">
        <f>J230/J3</f>
        <v>2.0082459161505552E-6</v>
      </c>
      <c r="K231" s="246">
        <f>K230/K3</f>
        <v>2.1043168380714064E-6</v>
      </c>
      <c r="L231" s="246">
        <f>L230/L3</f>
        <v>2.2715563431273443E-6</v>
      </c>
      <c r="M231" s="187" t="e">
        <f>L230*(1+AVERAGE(I232:L232))</f>
        <v>#DIV/0!</v>
      </c>
      <c r="N231" s="187" t="e">
        <f>AVERAGE($H$231:$L$231)</f>
        <v>#DIV/0!</v>
      </c>
      <c r="O231" s="187" t="e">
        <f>AVERAGE($H$231:$L$231)</f>
        <v>#DIV/0!</v>
      </c>
      <c r="P231" s="187"/>
      <c r="Q231" s="187"/>
      <c r="R231" s="187"/>
      <c r="S231" s="187"/>
      <c r="T231" s="187"/>
      <c r="U231" s="187"/>
      <c r="V231" s="187"/>
      <c r="W231" s="187"/>
      <c r="X231" s="187"/>
      <c r="Y231" s="187"/>
      <c r="Z231" s="107"/>
      <c r="AA231" s="107"/>
      <c r="AB231" s="107"/>
      <c r="AC231" s="107"/>
      <c r="AD231" s="107"/>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row>
    <row r="232" spans="1:55" ht="25" customHeight="1" x14ac:dyDescent="0.35">
      <c r="H232" s="245"/>
      <c r="I232" s="246" t="e">
        <f>I231/H231-1</f>
        <v>#DIV/0!</v>
      </c>
      <c r="J232" s="246">
        <f>J231/I231-1</f>
        <v>0.20604598465092594</v>
      </c>
      <c r="K232" s="246">
        <f>K231/J231-1</f>
        <v>4.7838225960395109E-2</v>
      </c>
      <c r="L232" s="246">
        <f>L231/K231-1</f>
        <v>7.9474488836582147E-2</v>
      </c>
      <c r="Z232" s="107"/>
      <c r="AA232" s="107"/>
      <c r="AB232" s="107"/>
      <c r="AC232" s="107"/>
      <c r="AD232" s="107"/>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row>
    <row r="233" spans="1:55" ht="25" customHeight="1" x14ac:dyDescent="0.35">
      <c r="A233" s="219" t="s">
        <v>140</v>
      </c>
      <c r="B233" s="219"/>
      <c r="C233" s="219"/>
      <c r="D233" s="219"/>
      <c r="E233" s="219"/>
      <c r="F233" s="219"/>
      <c r="G233" s="219"/>
      <c r="H233" s="245">
        <f>H312/1000</f>
        <v>5525.8459999999995</v>
      </c>
      <c r="I233" s="245">
        <f>I312/1000</f>
        <v>4983.0439999999999</v>
      </c>
      <c r="J233" s="245">
        <f>J312/1000</f>
        <v>4905.0690000000004</v>
      </c>
      <c r="K233" s="245">
        <f>K312/1000</f>
        <v>6773.0720000000001</v>
      </c>
      <c r="L233" s="245">
        <f>L321/1000</f>
        <v>5537.5630000000001</v>
      </c>
      <c r="M233" s="178" t="e">
        <f>M234*M3</f>
        <v>#DIV/0!</v>
      </c>
      <c r="N233" s="178" t="e">
        <f>N234*N3</f>
        <v>#DIV/0!</v>
      </c>
      <c r="O233" s="178" t="e">
        <f>N233*(1-O234)</f>
        <v>#DIV/0!</v>
      </c>
      <c r="P233" s="178"/>
      <c r="Q233" s="178"/>
      <c r="R233" s="178"/>
      <c r="S233" s="178"/>
      <c r="T233" s="178"/>
      <c r="U233" s="178"/>
      <c r="V233" s="178"/>
      <c r="W233" s="178"/>
      <c r="X233" s="178"/>
      <c r="Y233" s="178"/>
      <c r="Z233" s="107"/>
      <c r="AA233" s="107"/>
      <c r="AB233" s="107"/>
      <c r="AC233" s="107"/>
      <c r="AD233" s="107"/>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row>
    <row r="234" spans="1:55" ht="25" customHeight="1" x14ac:dyDescent="0.35">
      <c r="H234" s="246" t="e">
        <f>H233/H3</f>
        <v>#DIV/0!</v>
      </c>
      <c r="I234" s="246">
        <f>I233/I3</f>
        <v>2.3997164855600481E-6</v>
      </c>
      <c r="J234" s="246">
        <f>J233/J3</f>
        <v>2.369564376685614E-6</v>
      </c>
      <c r="K234" s="246">
        <f>K233/K3</f>
        <v>3.2723361276649817E-6</v>
      </c>
      <c r="L234" s="246">
        <f>L233/L3</f>
        <v>2.7224098096194601E-6</v>
      </c>
      <c r="M234" s="187" t="e">
        <f>AVERAGE($H$234:$L$234)</f>
        <v>#DIV/0!</v>
      </c>
      <c r="N234" s="187" t="e">
        <f>AVERAGE($H$234:$L$234)</f>
        <v>#DIV/0!</v>
      </c>
      <c r="O234" s="187">
        <v>0.04</v>
      </c>
      <c r="P234" s="187"/>
      <c r="Q234" s="187"/>
      <c r="R234" s="187"/>
      <c r="S234" s="187"/>
      <c r="T234" s="187"/>
      <c r="U234" s="187"/>
      <c r="V234" s="187"/>
      <c r="W234" s="187"/>
      <c r="X234" s="187"/>
      <c r="Y234" s="187"/>
      <c r="Z234" s="107"/>
      <c r="AA234" s="107"/>
      <c r="AB234" s="107"/>
      <c r="AC234" s="107"/>
      <c r="AD234" s="107"/>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row>
    <row r="235" spans="1:55" ht="25" customHeight="1" x14ac:dyDescent="0.35">
      <c r="H235" s="245"/>
      <c r="I235" s="245"/>
      <c r="J235" s="245"/>
      <c r="K235" s="245"/>
      <c r="L235" s="245"/>
      <c r="Z235" s="107"/>
      <c r="AA235" s="107"/>
      <c r="AB235" s="107"/>
      <c r="AC235" s="107"/>
      <c r="AD235" s="107"/>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row>
    <row r="236" spans="1:55" ht="25" customHeight="1" x14ac:dyDescent="0.35">
      <c r="A236" s="248" t="s">
        <v>141</v>
      </c>
      <c r="B236" s="248"/>
      <c r="C236" s="248"/>
      <c r="D236" s="248"/>
      <c r="E236" s="248"/>
      <c r="F236" s="248"/>
      <c r="G236" s="248"/>
      <c r="H236" s="245">
        <f>H315/1000</f>
        <v>3991.0650000000001</v>
      </c>
      <c r="I236" s="245">
        <f>I315/1000</f>
        <v>3648.4459999999999</v>
      </c>
      <c r="J236" s="245">
        <f>J315/1000</f>
        <v>3199.1860000000001</v>
      </c>
      <c r="K236" s="245">
        <f>K315/1000</f>
        <v>4213.8879999999999</v>
      </c>
      <c r="L236" s="245">
        <f>L324/1000</f>
        <v>4284.1580000000004</v>
      </c>
      <c r="M236" s="178" t="e">
        <f>L236*(1-$M$237)</f>
        <v>#DIV/0!</v>
      </c>
      <c r="N236" s="178" t="e">
        <f>M236*(1-$M$237)</f>
        <v>#DIV/0!</v>
      </c>
      <c r="O236" s="178" t="e">
        <f>N236*(1-$M$237)</f>
        <v>#DIV/0!</v>
      </c>
      <c r="P236" s="178"/>
      <c r="Q236" s="178"/>
      <c r="R236" s="178"/>
      <c r="S236" s="178"/>
      <c r="T236" s="178"/>
      <c r="U236" s="178"/>
      <c r="V236" s="178"/>
      <c r="W236" s="178"/>
      <c r="X236" s="178"/>
      <c r="Y236" s="178"/>
      <c r="Z236" s="107"/>
      <c r="AA236" s="107"/>
      <c r="AB236" s="107"/>
      <c r="AC236" s="107"/>
      <c r="AD236" s="107"/>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row>
    <row r="237" spans="1:55" ht="25" customHeight="1" x14ac:dyDescent="0.35">
      <c r="H237" s="246" t="e">
        <f>H236/H3</f>
        <v>#DIV/0!</v>
      </c>
      <c r="I237" s="246">
        <f>I236/I3</f>
        <v>1.7570055598296171E-6</v>
      </c>
      <c r="J237" s="246">
        <f>J236/J3</f>
        <v>1.5454781940868401E-6</v>
      </c>
      <c r="K237" s="246">
        <f>K236/K3</f>
        <v>2.0358941910456488E-6</v>
      </c>
      <c r="L237" s="246">
        <f>L236/L3</f>
        <v>2.1062033542841295E-6</v>
      </c>
      <c r="M237" s="187" t="e">
        <f>AVERAGE(H237:L237)</f>
        <v>#DIV/0!</v>
      </c>
      <c r="N237" s="187" t="e">
        <f>AVERAGE($H$237:$L$237)</f>
        <v>#DIV/0!</v>
      </c>
      <c r="O237" s="187" t="e">
        <f>AVERAGE($H$237:$L$237)</f>
        <v>#DIV/0!</v>
      </c>
      <c r="P237" s="187"/>
      <c r="Q237" s="187"/>
      <c r="R237" s="187"/>
      <c r="S237" s="187"/>
      <c r="T237" s="187"/>
      <c r="U237" s="187"/>
      <c r="V237" s="187"/>
      <c r="W237" s="187"/>
      <c r="X237" s="187"/>
      <c r="Y237" s="187"/>
      <c r="Z237" s="107"/>
      <c r="AA237" s="107"/>
      <c r="AB237" s="107"/>
      <c r="AC237" s="107"/>
      <c r="AD237" s="107"/>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row>
    <row r="238" spans="1:55" ht="25" customHeight="1" x14ac:dyDescent="0.35">
      <c r="H238" s="245"/>
      <c r="I238" s="246" t="e">
        <f>I237/H237-1</f>
        <v>#DIV/0!</v>
      </c>
      <c r="J238" s="246">
        <f>J237/I237-1</f>
        <v>-0.12039083459888966</v>
      </c>
      <c r="K238" s="246">
        <f>K237/J237-1</f>
        <v>0.31732314233561576</v>
      </c>
      <c r="L238" s="246">
        <f>L237/K237-1</f>
        <v>3.4534782577462675E-2</v>
      </c>
      <c r="Z238" s="107"/>
      <c r="AA238" s="107"/>
      <c r="AB238" s="107"/>
      <c r="AC238" s="107"/>
      <c r="AD238" s="107"/>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row>
    <row r="239" spans="1:55" ht="25" customHeight="1" x14ac:dyDescent="0.35">
      <c r="H239" s="245"/>
      <c r="I239" s="245"/>
      <c r="J239" s="245"/>
      <c r="K239" s="245"/>
      <c r="L239" s="245"/>
      <c r="Z239" s="107"/>
      <c r="AA239" s="107"/>
      <c r="AB239" s="107"/>
      <c r="AC239" s="107"/>
      <c r="AD239" s="107"/>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row>
    <row r="240" spans="1:55" ht="25" customHeight="1" x14ac:dyDescent="0.35">
      <c r="A240" s="177" t="s">
        <v>142</v>
      </c>
      <c r="H240" s="245"/>
      <c r="I240" s="245"/>
      <c r="J240" s="245"/>
      <c r="K240" s="245"/>
      <c r="L240" s="178">
        <f t="shared" ref="L240:O240" si="239">K230-L230</f>
        <v>-264.98800000000028</v>
      </c>
      <c r="M240" s="178" t="e">
        <f>L230-M230</f>
        <v>#DIV/0!</v>
      </c>
      <c r="N240" s="178" t="e">
        <f t="shared" si="239"/>
        <v>#DIV/0!</v>
      </c>
      <c r="O240" s="178" t="e">
        <f t="shared" si="239"/>
        <v>#DIV/0!</v>
      </c>
      <c r="P240" s="178"/>
      <c r="Q240" s="178"/>
      <c r="R240" s="178"/>
      <c r="S240" s="178"/>
      <c r="T240" s="178"/>
      <c r="U240" s="178"/>
      <c r="V240" s="178"/>
      <c r="W240" s="178"/>
      <c r="X240" s="178"/>
      <c r="Y240" s="178"/>
      <c r="Z240" s="107"/>
      <c r="AA240" s="107"/>
      <c r="AB240" s="107"/>
      <c r="AC240" s="107"/>
      <c r="AD240" s="107"/>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row>
    <row r="241" spans="1:55" ht="25" customHeight="1" x14ac:dyDescent="0.35">
      <c r="H241" s="245"/>
      <c r="I241" s="245"/>
      <c r="J241" s="245"/>
      <c r="K241" s="245"/>
      <c r="L241" s="245"/>
      <c r="Z241" s="107"/>
      <c r="AA241" s="107"/>
      <c r="AB241" s="107"/>
      <c r="AC241" s="107"/>
      <c r="AD241" s="107"/>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row>
    <row r="242" spans="1:55" ht="25" customHeight="1" x14ac:dyDescent="0.35">
      <c r="A242" s="177" t="s">
        <v>143</v>
      </c>
      <c r="H242" s="245"/>
      <c r="I242" s="245"/>
      <c r="J242" s="245"/>
      <c r="K242" s="245"/>
      <c r="L242" s="245"/>
      <c r="M242" s="178" t="e">
        <f>L233-M233</f>
        <v>#DIV/0!</v>
      </c>
      <c r="N242" s="178" t="e">
        <f>M233-N233</f>
        <v>#DIV/0!</v>
      </c>
      <c r="O242" s="178" t="e">
        <f>N233-O233</f>
        <v>#DIV/0!</v>
      </c>
      <c r="P242" s="178"/>
      <c r="Q242" s="178"/>
      <c r="R242" s="178"/>
      <c r="S242" s="178"/>
      <c r="T242" s="178"/>
      <c r="U242" s="178"/>
      <c r="V242" s="178"/>
      <c r="W242" s="178"/>
      <c r="X242" s="178"/>
      <c r="Y242" s="178"/>
      <c r="Z242" s="107"/>
      <c r="AA242" s="107"/>
      <c r="AB242" s="107"/>
      <c r="AC242" s="107"/>
      <c r="AD242" s="107"/>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row>
    <row r="243" spans="1:55" ht="25" customHeight="1" x14ac:dyDescent="0.35">
      <c r="H243" s="245"/>
      <c r="I243" s="245"/>
      <c r="J243" s="245"/>
      <c r="K243" s="245"/>
      <c r="L243" s="245"/>
      <c r="Z243" s="107"/>
      <c r="AA243" s="107"/>
      <c r="AB243" s="107"/>
      <c r="AC243" s="107"/>
      <c r="AD243" s="107"/>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row>
    <row r="244" spans="1:55" ht="25" customHeight="1" x14ac:dyDescent="0.35">
      <c r="A244" s="177" t="s">
        <v>144</v>
      </c>
      <c r="H244" s="245"/>
      <c r="I244" s="245"/>
      <c r="J244" s="245"/>
      <c r="K244" s="245"/>
      <c r="L244" s="178">
        <f t="shared" ref="L244:O244" si="240">L236-K236</f>
        <v>70.270000000000437</v>
      </c>
      <c r="M244" s="178" t="e">
        <f t="shared" si="240"/>
        <v>#DIV/0!</v>
      </c>
      <c r="N244" s="178" t="e">
        <f t="shared" si="240"/>
        <v>#DIV/0!</v>
      </c>
      <c r="O244" s="178" t="e">
        <f t="shared" si="240"/>
        <v>#DIV/0!</v>
      </c>
      <c r="P244" s="178"/>
      <c r="Q244" s="178"/>
      <c r="R244" s="178"/>
      <c r="S244" s="178"/>
      <c r="T244" s="178"/>
      <c r="U244" s="178"/>
      <c r="V244" s="178"/>
      <c r="W244" s="178"/>
      <c r="X244" s="178"/>
      <c r="Y244" s="178"/>
      <c r="Z244" s="107"/>
      <c r="AA244" s="107"/>
      <c r="AB244" s="107"/>
      <c r="AC244" s="107"/>
      <c r="AD244" s="107"/>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row>
    <row r="245" spans="1:55" ht="25" customHeight="1" x14ac:dyDescent="0.35">
      <c r="H245" s="245"/>
      <c r="I245" s="245"/>
      <c r="J245" s="245"/>
      <c r="K245" s="245"/>
      <c r="L245" s="245"/>
      <c r="Z245" s="107"/>
      <c r="AA245" s="107"/>
      <c r="AB245" s="107"/>
      <c r="AC245" s="107"/>
      <c r="AD245" s="107"/>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row>
    <row r="246" spans="1:55" ht="25" customHeight="1" x14ac:dyDescent="0.35">
      <c r="A246" s="177" t="s">
        <v>145</v>
      </c>
      <c r="H246" s="245">
        <f>H253</f>
        <v>69</v>
      </c>
      <c r="I246" s="245">
        <f>I253</f>
        <v>16</v>
      </c>
      <c r="J246" s="245">
        <f>J253</f>
        <v>24</v>
      </c>
      <c r="K246" s="245">
        <f>K253</f>
        <v>0</v>
      </c>
      <c r="L246" s="245">
        <f>L253</f>
        <v>-73</v>
      </c>
      <c r="M246" s="179">
        <f>AVERAGE($H$246:$L$246)</f>
        <v>7.2</v>
      </c>
      <c r="N246" s="179">
        <f>AVERAGE($H$246:$L$246)</f>
        <v>7.2</v>
      </c>
      <c r="O246" s="179">
        <f>AVERAGE($H$246:$L$246)</f>
        <v>7.2</v>
      </c>
      <c r="P246" s="179"/>
      <c r="Q246" s="179"/>
      <c r="R246" s="179"/>
      <c r="S246" s="179"/>
      <c r="T246" s="179"/>
      <c r="U246" s="179"/>
      <c r="V246" s="179"/>
      <c r="W246" s="179"/>
      <c r="X246" s="179"/>
      <c r="Y246" s="179"/>
      <c r="Z246" s="107"/>
      <c r="AA246" s="107"/>
      <c r="AB246" s="107"/>
      <c r="AC246" s="107"/>
      <c r="AD246" s="107"/>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row>
    <row r="247" spans="1:55" ht="25" customHeight="1" x14ac:dyDescent="0.35">
      <c r="H247" s="245"/>
      <c r="I247" s="245"/>
      <c r="J247" s="245"/>
      <c r="K247" s="245"/>
      <c r="L247" s="245"/>
      <c r="Z247" s="107"/>
      <c r="AA247" s="107"/>
      <c r="AB247" s="107"/>
      <c r="AC247" s="107"/>
      <c r="AD247" s="107"/>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row>
    <row r="248" spans="1:55" ht="25" customHeight="1" x14ac:dyDescent="0.35">
      <c r="A248" s="177" t="s">
        <v>146</v>
      </c>
      <c r="H248" s="245" t="str">
        <f>H254</f>
        <v>--</v>
      </c>
      <c r="I248" s="245">
        <f>I254</f>
        <v>-4</v>
      </c>
      <c r="J248" s="245">
        <f>J254</f>
        <v>0</v>
      </c>
      <c r="K248" s="245">
        <f>K254</f>
        <v>0</v>
      </c>
      <c r="L248" s="179"/>
      <c r="M248" s="179">
        <f>AVERAGE($H$248:$L$248)</f>
        <v>-1.3333333333333333</v>
      </c>
      <c r="N248" s="179">
        <f>AVERAGE($H$248:$L$248)</f>
        <v>-1.3333333333333333</v>
      </c>
      <c r="O248" s="179">
        <f>AVERAGE($H$248:$L$248)</f>
        <v>-1.3333333333333333</v>
      </c>
      <c r="P248" s="179"/>
      <c r="Q248" s="179"/>
      <c r="R248" s="179"/>
      <c r="S248" s="179"/>
      <c r="T248" s="179"/>
      <c r="U248" s="179"/>
      <c r="V248" s="179"/>
      <c r="W248" s="179"/>
      <c r="X248" s="179"/>
      <c r="Y248" s="179"/>
      <c r="Z248" s="107"/>
      <c r="AA248" s="107"/>
      <c r="AB248" s="107"/>
      <c r="AC248" s="107"/>
      <c r="AD248" s="107"/>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row>
    <row r="249" spans="1:55" ht="25" customHeight="1" x14ac:dyDescent="0.35">
      <c r="H249" s="245"/>
      <c r="I249" s="245"/>
      <c r="J249" s="245"/>
      <c r="K249" s="245"/>
      <c r="L249" s="245"/>
      <c r="Z249" s="107"/>
      <c r="AA249" s="107"/>
      <c r="AB249" s="107"/>
      <c r="AC249" s="107"/>
      <c r="AD249" s="107"/>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row>
    <row r="250" spans="1:55" ht="25" customHeight="1" x14ac:dyDescent="0.35">
      <c r="A250" s="177" t="s">
        <v>147</v>
      </c>
      <c r="H250" s="245">
        <f>H262+H213</f>
        <v>-1333.933445116</v>
      </c>
      <c r="I250" s="245">
        <f>I262+I213</f>
        <v>-992.62224233400002</v>
      </c>
      <c r="J250" s="245">
        <f>J262+J213</f>
        <v>-1453.196147101</v>
      </c>
      <c r="K250" s="245">
        <f>K262+K213</f>
        <v>-1407.3004855590002</v>
      </c>
      <c r="L250" s="245">
        <f>L262+L213</f>
        <v>-1262.040642963</v>
      </c>
      <c r="M250" s="179">
        <f>AVERAGE($H$250:$L$250)</f>
        <v>-1289.8185926146002</v>
      </c>
      <c r="N250" s="179">
        <f>AVERAGE($H$250:$L$250)</f>
        <v>-1289.8185926146002</v>
      </c>
      <c r="O250" s="179">
        <f>AVERAGE($H$250:$L$250)</f>
        <v>-1289.8185926146002</v>
      </c>
      <c r="P250" s="179"/>
      <c r="Q250" s="179"/>
      <c r="R250" s="179"/>
      <c r="S250" s="179"/>
      <c r="T250" s="179"/>
      <c r="U250" s="179"/>
      <c r="V250" s="179"/>
      <c r="W250" s="179"/>
      <c r="X250" s="179"/>
      <c r="Y250" s="179"/>
      <c r="Z250" s="107"/>
      <c r="AA250" s="107"/>
      <c r="AB250" s="107"/>
      <c r="AC250" s="107"/>
      <c r="AD250" s="107"/>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row>
    <row r="251" spans="1:55" ht="25" customHeight="1" x14ac:dyDescent="0.35">
      <c r="H251" s="245"/>
      <c r="I251" s="245"/>
      <c r="J251" s="245"/>
      <c r="K251" s="245"/>
      <c r="L251" s="245"/>
      <c r="Z251" s="107"/>
      <c r="AA251" s="107"/>
      <c r="AB251" s="107"/>
      <c r="AC251" s="107"/>
      <c r="AD251" s="107"/>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row>
    <row r="252" spans="1:55" ht="25" customHeight="1" x14ac:dyDescent="0.35">
      <c r="H252" s="245"/>
      <c r="I252" s="245"/>
      <c r="J252" s="245"/>
      <c r="K252" s="245"/>
      <c r="L252" s="245"/>
      <c r="Z252" s="107"/>
      <c r="AA252" s="107"/>
      <c r="AB252" s="107"/>
      <c r="AC252" s="107"/>
      <c r="AD252" s="107"/>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row>
    <row r="253" spans="1:55" ht="25" customHeight="1" x14ac:dyDescent="0.35">
      <c r="H253" s="249">
        <v>69</v>
      </c>
      <c r="I253" s="249">
        <v>16</v>
      </c>
      <c r="J253" s="249">
        <v>24</v>
      </c>
      <c r="K253" s="249">
        <v>0</v>
      </c>
      <c r="L253" s="249">
        <v>-73</v>
      </c>
      <c r="Z253" s="107"/>
      <c r="AA253" s="107"/>
      <c r="AB253" s="107"/>
      <c r="AC253" s="107"/>
      <c r="AD253" s="107"/>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row>
    <row r="254" spans="1:55" ht="25" customHeight="1" x14ac:dyDescent="0.35">
      <c r="H254" s="249" t="s">
        <v>148</v>
      </c>
      <c r="I254" s="249">
        <v>-4</v>
      </c>
      <c r="J254" s="249">
        <v>0</v>
      </c>
      <c r="K254" s="249">
        <v>0</v>
      </c>
      <c r="L254" s="249" t="s">
        <v>148</v>
      </c>
      <c r="Z254" s="107"/>
      <c r="AA254" s="107"/>
      <c r="AB254" s="107"/>
      <c r="AC254" s="107"/>
      <c r="AD254" s="107"/>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row>
    <row r="255" spans="1:55" ht="25" customHeight="1" x14ac:dyDescent="0.35">
      <c r="H255" s="245"/>
      <c r="I255" s="245"/>
      <c r="J255" s="245"/>
      <c r="K255" s="245"/>
      <c r="L255" s="245"/>
      <c r="Z255" s="107"/>
      <c r="AA255" s="107"/>
      <c r="AB255" s="107"/>
      <c r="AC255" s="107"/>
      <c r="AD255" s="107"/>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row>
    <row r="256" spans="1:55" ht="25" customHeight="1" x14ac:dyDescent="0.35">
      <c r="A256" s="182" t="s">
        <v>149</v>
      </c>
      <c r="B256" s="182"/>
      <c r="C256" s="182"/>
      <c r="D256" s="182"/>
      <c r="E256" s="182"/>
      <c r="F256" s="182"/>
      <c r="G256" s="182"/>
      <c r="H256" s="244"/>
      <c r="I256" s="244"/>
      <c r="J256" s="244"/>
      <c r="K256" s="244"/>
      <c r="L256" s="184">
        <f t="shared" ref="L256:O256" si="241">SUM(L250,L248,L246,L244,L242,L240)</f>
        <v>-1529.7586429629998</v>
      </c>
      <c r="M256" s="184" t="e">
        <f>SUM(M250,M248,M246,M244,M242,M240)</f>
        <v>#DIV/0!</v>
      </c>
      <c r="N256" s="184" t="e">
        <f t="shared" si="241"/>
        <v>#DIV/0!</v>
      </c>
      <c r="O256" s="184" t="e">
        <f t="shared" si="241"/>
        <v>#DIV/0!</v>
      </c>
      <c r="P256" s="184"/>
      <c r="Q256" s="184"/>
      <c r="R256" s="184"/>
      <c r="S256" s="184"/>
      <c r="T256" s="184"/>
      <c r="U256" s="184"/>
      <c r="V256" s="184"/>
      <c r="W256" s="184"/>
      <c r="X256" s="184"/>
      <c r="Y256" s="184"/>
      <c r="Z256" s="107"/>
      <c r="AA256" s="107"/>
      <c r="AB256" s="107"/>
      <c r="AC256" s="107"/>
      <c r="AD256" s="107"/>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row>
    <row r="257" spans="1:55" ht="25" customHeight="1" x14ac:dyDescent="0.35">
      <c r="H257" s="245"/>
      <c r="I257" s="245"/>
      <c r="J257" s="245"/>
      <c r="K257" s="245"/>
      <c r="L257" s="245"/>
      <c r="N257" s="250"/>
      <c r="O257" s="250"/>
      <c r="P257" s="250"/>
      <c r="Q257" s="250"/>
      <c r="R257" s="250"/>
      <c r="S257" s="250"/>
      <c r="T257" s="250"/>
      <c r="U257" s="250"/>
      <c r="V257" s="250"/>
      <c r="W257" s="250"/>
      <c r="X257" s="250"/>
      <c r="Y257" s="250"/>
      <c r="Z257" s="107"/>
      <c r="AA257" s="107"/>
      <c r="AB257" s="107"/>
      <c r="AC257" s="107"/>
      <c r="AD257" s="107"/>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row>
    <row r="258" spans="1:55" ht="25" customHeight="1" x14ac:dyDescent="0.35">
      <c r="H258" s="249">
        <v>-4920</v>
      </c>
      <c r="I258" s="249">
        <v>-2846</v>
      </c>
      <c r="J258" s="249">
        <v>-4910</v>
      </c>
      <c r="K258" s="249">
        <v>-4991</v>
      </c>
      <c r="L258" s="249">
        <v>-3076</v>
      </c>
      <c r="M258" s="246" t="e">
        <f>M256/L256-1</f>
        <v>#DIV/0!</v>
      </c>
      <c r="N258" s="246" t="e">
        <f>N256/M256-1</f>
        <v>#DIV/0!</v>
      </c>
      <c r="O258" s="246" t="e">
        <f>O256/N256-1</f>
        <v>#DIV/0!</v>
      </c>
      <c r="P258" s="246"/>
      <c r="Q258" s="246"/>
      <c r="R258" s="246"/>
      <c r="S258" s="246"/>
      <c r="T258" s="246"/>
      <c r="U258" s="246"/>
      <c r="V258" s="246"/>
      <c r="W258" s="246"/>
      <c r="X258" s="246"/>
      <c r="Y258" s="246"/>
      <c r="Z258" s="107"/>
      <c r="AA258" s="107"/>
      <c r="AB258" s="107"/>
      <c r="AC258" s="107"/>
      <c r="AD258" s="107"/>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row>
    <row r="259" spans="1:55" ht="25" customHeight="1" x14ac:dyDescent="0.35">
      <c r="H259" s="245">
        <f>H258+H213</f>
        <v>-3073.9334451160003</v>
      </c>
      <c r="I259" s="245">
        <f>I258+I213</f>
        <v>-604.62224233400002</v>
      </c>
      <c r="J259" s="245">
        <f>J258+J213</f>
        <v>-2627.196147101</v>
      </c>
      <c r="K259" s="245">
        <f>K258+K213</f>
        <v>-2701.3004855590002</v>
      </c>
      <c r="L259" s="245">
        <f>L258+L213</f>
        <v>-1158.040642963</v>
      </c>
      <c r="Z259" s="107"/>
      <c r="AA259" s="107"/>
      <c r="AB259" s="107"/>
      <c r="AC259" s="107"/>
      <c r="AD259" s="107"/>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row>
    <row r="260" spans="1:55" ht="25" customHeight="1" x14ac:dyDescent="0.35">
      <c r="H260" s="245"/>
      <c r="I260" s="245"/>
      <c r="J260" s="245"/>
      <c r="K260" s="245"/>
      <c r="L260" s="245"/>
      <c r="Z260" s="107"/>
      <c r="AA260" s="107"/>
      <c r="AB260" s="107"/>
      <c r="AC260" s="107"/>
      <c r="AD260" s="107"/>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row>
    <row r="261" spans="1:55" ht="25" customHeight="1" x14ac:dyDescent="0.35">
      <c r="H261" s="245"/>
      <c r="I261" s="245"/>
      <c r="J261" s="245"/>
      <c r="K261" s="245"/>
      <c r="L261" s="245"/>
      <c r="Z261" s="107"/>
      <c r="AA261" s="107"/>
      <c r="AB261" s="107"/>
      <c r="AC261" s="107"/>
      <c r="AD261" s="107"/>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row>
    <row r="262" spans="1:55" ht="25" customHeight="1" x14ac:dyDescent="0.35">
      <c r="H262" s="249">
        <v>-3180</v>
      </c>
      <c r="I262" s="249">
        <v>-3234</v>
      </c>
      <c r="J262" s="249">
        <v>-3736</v>
      </c>
      <c r="K262" s="249">
        <v>-3697</v>
      </c>
      <c r="L262" s="249">
        <v>-3180</v>
      </c>
      <c r="Z262" s="107"/>
      <c r="AA262" s="107"/>
      <c r="AB262" s="107"/>
      <c r="AC262" s="107"/>
      <c r="AD262" s="107"/>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row>
    <row r="263" spans="1:55" ht="25" customHeight="1" x14ac:dyDescent="0.35">
      <c r="H263" s="245"/>
      <c r="I263" s="245"/>
      <c r="J263" s="245"/>
      <c r="K263" s="245"/>
      <c r="L263" s="245"/>
      <c r="Z263" s="107"/>
      <c r="AA263" s="107"/>
      <c r="AB263" s="107"/>
      <c r="AC263" s="107"/>
      <c r="AD263" s="107"/>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row>
    <row r="264" spans="1:55" ht="25" customHeight="1" x14ac:dyDescent="0.35">
      <c r="H264" s="245"/>
      <c r="I264" s="245"/>
      <c r="J264" s="245"/>
      <c r="K264" s="245"/>
      <c r="L264" s="245"/>
      <c r="Z264" s="107"/>
      <c r="AA264" s="107"/>
      <c r="AB264" s="107"/>
      <c r="AC264" s="107"/>
      <c r="AD264" s="107"/>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row>
    <row r="265" spans="1:55" ht="25" customHeight="1" x14ac:dyDescent="0.35">
      <c r="A265" s="249">
        <v>-3180</v>
      </c>
      <c r="B265" s="249"/>
      <c r="C265" s="249"/>
      <c r="D265" s="249"/>
      <c r="E265" s="249"/>
      <c r="F265" s="249"/>
      <c r="G265" s="249"/>
      <c r="H265" s="249">
        <v>-3234</v>
      </c>
      <c r="I265" s="249">
        <v>-3736</v>
      </c>
      <c r="J265" s="249">
        <v>-3697</v>
      </c>
      <c r="K265" s="249">
        <v>-3180</v>
      </c>
      <c r="L265" s="245"/>
      <c r="Z265" s="107"/>
      <c r="AA265" s="107"/>
      <c r="AB265" s="107"/>
      <c r="AC265" s="107"/>
      <c r="AD265" s="107"/>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row>
    <row r="266" spans="1:55" ht="25" customHeight="1" x14ac:dyDescent="0.35">
      <c r="H266" s="245"/>
      <c r="I266" s="245"/>
      <c r="J266" s="245"/>
      <c r="K266" s="245"/>
      <c r="L266" s="251">
        <v>33.200000000000003</v>
      </c>
      <c r="M266" s="189">
        <f>L266*(1+$N$191)</f>
        <v>33.200000000000003</v>
      </c>
      <c r="N266" s="189">
        <f>M266*(1+$N$191)</f>
        <v>33.200000000000003</v>
      </c>
      <c r="O266" s="189">
        <f>N266*(1-$N$191)</f>
        <v>33.200000000000003</v>
      </c>
      <c r="P266" s="189"/>
      <c r="Q266" s="189"/>
      <c r="R266" s="189"/>
      <c r="S266" s="189"/>
      <c r="T266" s="189"/>
      <c r="U266" s="189"/>
      <c r="V266" s="189"/>
      <c r="W266" s="189"/>
      <c r="X266" s="189"/>
      <c r="Y266" s="189"/>
      <c r="Z266" s="107"/>
      <c r="AA266" s="107"/>
      <c r="AB266" s="107"/>
      <c r="AC266" s="107"/>
      <c r="AD266" s="107"/>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row>
    <row r="267" spans="1:55" ht="25" customHeight="1" x14ac:dyDescent="0.35">
      <c r="A267" s="252" t="s">
        <v>150</v>
      </c>
      <c r="B267" s="252"/>
      <c r="C267" s="252"/>
      <c r="D267" s="252"/>
      <c r="E267" s="252"/>
      <c r="F267" s="252"/>
      <c r="G267" s="252"/>
      <c r="H267" s="251">
        <v>27.8</v>
      </c>
      <c r="I267" s="251">
        <v>25.7</v>
      </c>
      <c r="J267" s="251">
        <v>26.8</v>
      </c>
      <c r="K267" s="251">
        <v>30</v>
      </c>
      <c r="L267" s="253">
        <v>0.107</v>
      </c>
      <c r="M267" s="254">
        <f>AVERAGE(H267:L267)</f>
        <v>22.081399999999999</v>
      </c>
      <c r="N267" s="193"/>
      <c r="O267" s="193"/>
      <c r="P267" s="193"/>
      <c r="Q267" s="193"/>
      <c r="R267" s="193"/>
      <c r="S267" s="193"/>
      <c r="T267" s="193"/>
      <c r="U267" s="193"/>
      <c r="V267" s="193"/>
      <c r="W267" s="193"/>
      <c r="X267" s="193"/>
      <c r="Y267" s="193"/>
      <c r="Z267" s="107"/>
      <c r="AA267" s="107"/>
      <c r="AB267" s="107"/>
      <c r="AC267" s="107"/>
      <c r="AD267" s="107"/>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row>
    <row r="268" spans="1:55" ht="25" customHeight="1" x14ac:dyDescent="0.35">
      <c r="A268" s="255" t="s">
        <v>151</v>
      </c>
      <c r="B268" s="255"/>
      <c r="C268" s="255"/>
      <c r="D268" s="255"/>
      <c r="E268" s="255"/>
      <c r="F268" s="255"/>
      <c r="G268" s="255"/>
      <c r="H268" s="253">
        <v>0.14499999999999999</v>
      </c>
      <c r="I268" s="253">
        <v>-7.8E-2</v>
      </c>
      <c r="J268" s="253">
        <v>4.2999999999999997E-2</v>
      </c>
      <c r="K268" s="253">
        <v>0.12</v>
      </c>
      <c r="L268" s="251">
        <v>5.9</v>
      </c>
      <c r="M268" s="193"/>
      <c r="N268" s="193"/>
      <c r="O268" s="193"/>
      <c r="P268" s="193"/>
      <c r="Q268" s="193"/>
      <c r="R268" s="193"/>
      <c r="S268" s="193"/>
      <c r="T268" s="193"/>
      <c r="U268" s="193"/>
      <c r="V268" s="193"/>
      <c r="W268" s="193"/>
      <c r="X268" s="193"/>
      <c r="Y268" s="193"/>
      <c r="Z268" s="107"/>
      <c r="AA268" s="107"/>
      <c r="AB268" s="107"/>
      <c r="AC268" s="107"/>
      <c r="AD268" s="107"/>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row>
    <row r="269" spans="1:55" ht="25" customHeight="1" x14ac:dyDescent="0.35">
      <c r="A269" s="252" t="s">
        <v>152</v>
      </c>
      <c r="B269" s="252"/>
      <c r="C269" s="252"/>
      <c r="D269" s="252"/>
      <c r="E269" s="252"/>
      <c r="F269" s="252"/>
      <c r="G269" s="252"/>
      <c r="H269" s="251">
        <v>5.9</v>
      </c>
      <c r="I269" s="251">
        <v>5.7</v>
      </c>
      <c r="J269" s="251">
        <v>6.5</v>
      </c>
      <c r="K269" s="251">
        <v>5.9</v>
      </c>
      <c r="L269" s="256" t="s">
        <v>153</v>
      </c>
      <c r="M269" s="193"/>
      <c r="N269" s="193"/>
      <c r="O269" s="193"/>
      <c r="P269" s="193"/>
      <c r="Q269" s="193"/>
      <c r="R269" s="193"/>
      <c r="S269" s="193"/>
      <c r="T269" s="193"/>
      <c r="U269" s="193"/>
      <c r="V269" s="193"/>
      <c r="W269" s="193"/>
      <c r="X269" s="193"/>
      <c r="Y269" s="193"/>
      <c r="Z269" s="107"/>
      <c r="AA269" s="107"/>
      <c r="AB269" s="107"/>
      <c r="AC269" s="107"/>
      <c r="AD269" s="107"/>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row>
    <row r="270" spans="1:55" ht="25" customHeight="1" x14ac:dyDescent="0.35">
      <c r="A270" s="255" t="s">
        <v>151</v>
      </c>
      <c r="B270" s="255"/>
      <c r="C270" s="255"/>
      <c r="D270" s="255"/>
      <c r="E270" s="255"/>
      <c r="F270" s="255"/>
      <c r="G270" s="255"/>
      <c r="H270" s="256" t="s">
        <v>154</v>
      </c>
      <c r="I270" s="256" t="s">
        <v>155</v>
      </c>
      <c r="J270" s="256" t="s">
        <v>156</v>
      </c>
      <c r="K270" s="256" t="s">
        <v>157</v>
      </c>
      <c r="L270" s="251">
        <v>62.5</v>
      </c>
      <c r="M270" s="189">
        <f>AVERAGE(H270:L270)</f>
        <v>62.5</v>
      </c>
      <c r="N270" s="189">
        <f>M270</f>
        <v>62.5</v>
      </c>
      <c r="O270" s="189">
        <f>N270</f>
        <v>62.5</v>
      </c>
      <c r="P270" s="189"/>
      <c r="Q270" s="189"/>
      <c r="R270" s="189"/>
      <c r="S270" s="189"/>
      <c r="T270" s="189"/>
      <c r="U270" s="189"/>
      <c r="V270" s="189"/>
      <c r="W270" s="189"/>
      <c r="X270" s="189"/>
      <c r="Y270" s="189"/>
      <c r="Z270" s="107"/>
      <c r="AA270" s="107"/>
      <c r="AB270" s="107"/>
      <c r="AC270" s="107"/>
      <c r="AD270" s="107"/>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row>
    <row r="271" spans="1:55" ht="25" customHeight="1" x14ac:dyDescent="0.35">
      <c r="A271" s="252" t="s">
        <v>158</v>
      </c>
      <c r="B271" s="252"/>
      <c r="C271" s="252"/>
      <c r="D271" s="252"/>
      <c r="E271" s="252"/>
      <c r="F271" s="252"/>
      <c r="G271" s="252"/>
      <c r="H271" s="251">
        <v>62.5</v>
      </c>
      <c r="I271" s="251">
        <v>64.7</v>
      </c>
      <c r="J271" s="251">
        <v>56.6</v>
      </c>
      <c r="K271" s="251">
        <v>61.7</v>
      </c>
      <c r="L271" s="253">
        <v>1.2999999999999999E-2</v>
      </c>
      <c r="M271" s="196">
        <f>AVERAGE(H271:L271)</f>
        <v>49.102600000000002</v>
      </c>
      <c r="N271" s="193"/>
      <c r="O271" s="193"/>
      <c r="P271" s="193"/>
      <c r="Q271" s="193"/>
      <c r="R271" s="193"/>
      <c r="S271" s="193"/>
      <c r="T271" s="193"/>
      <c r="U271" s="193"/>
      <c r="V271" s="193"/>
      <c r="W271" s="193"/>
      <c r="X271" s="193"/>
      <c r="Y271" s="193"/>
      <c r="Z271" s="107"/>
      <c r="AA271" s="107"/>
      <c r="AB271" s="107"/>
      <c r="AC271" s="107"/>
      <c r="AD271" s="107"/>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row>
    <row r="272" spans="1:55" ht="25" customHeight="1" x14ac:dyDescent="0.35">
      <c r="A272" s="255" t="s">
        <v>151</v>
      </c>
      <c r="B272" s="255"/>
      <c r="C272" s="255"/>
      <c r="D272" s="255"/>
      <c r="E272" s="255"/>
      <c r="F272" s="255"/>
      <c r="G272" s="255"/>
      <c r="H272" s="253">
        <v>7.1999999999999995E-2</v>
      </c>
      <c r="I272" s="253">
        <v>3.4000000000000002E-2</v>
      </c>
      <c r="J272" s="253">
        <v>-0.124</v>
      </c>
      <c r="K272" s="253">
        <v>0.09</v>
      </c>
      <c r="L272" s="251">
        <v>43.1</v>
      </c>
      <c r="M272" s="257">
        <f>L272*(1+$N$197)</f>
        <v>43.1</v>
      </c>
      <c r="N272" s="257">
        <f>M272*(1+$N$197)</f>
        <v>43.1</v>
      </c>
      <c r="O272" s="257">
        <f>N272*(1-$N$197)</f>
        <v>43.1</v>
      </c>
      <c r="P272" s="257"/>
      <c r="Q272" s="257"/>
      <c r="R272" s="257"/>
      <c r="S272" s="257"/>
      <c r="T272" s="257"/>
      <c r="U272" s="257"/>
      <c r="V272" s="257"/>
      <c r="W272" s="257"/>
      <c r="X272" s="257"/>
      <c r="Y272" s="257"/>
      <c r="Z272" s="107"/>
      <c r="AA272" s="107"/>
      <c r="AB272" s="107"/>
      <c r="AC272" s="107"/>
      <c r="AD272" s="107"/>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row>
    <row r="273" spans="1:55" ht="25" customHeight="1" x14ac:dyDescent="0.35">
      <c r="A273" s="252" t="s">
        <v>159</v>
      </c>
      <c r="B273" s="252"/>
      <c r="C273" s="252"/>
      <c r="D273" s="252"/>
      <c r="E273" s="252"/>
      <c r="F273" s="252"/>
      <c r="G273" s="252"/>
      <c r="H273" s="251">
        <v>52.1</v>
      </c>
      <c r="I273" s="251">
        <v>47</v>
      </c>
      <c r="J273" s="251">
        <v>39.200000000000003</v>
      </c>
      <c r="K273" s="251">
        <v>39.200000000000003</v>
      </c>
      <c r="L273" s="253">
        <v>0.10100000000000001</v>
      </c>
      <c r="M273" s="254">
        <f>AVERAGE(I273:L273)</f>
        <v>31.375250000000001</v>
      </c>
      <c r="N273" s="193"/>
      <c r="O273" s="193"/>
      <c r="P273" s="193"/>
      <c r="Q273" s="193"/>
      <c r="R273" s="193"/>
      <c r="S273" s="193"/>
      <c r="T273" s="193"/>
      <c r="U273" s="193"/>
      <c r="V273" s="193"/>
      <c r="W273" s="193"/>
      <c r="X273" s="193"/>
      <c r="Y273" s="193"/>
      <c r="Z273" s="107"/>
      <c r="AA273" s="107"/>
      <c r="AB273" s="107"/>
      <c r="AC273" s="107"/>
      <c r="AD273" s="107"/>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row>
    <row r="274" spans="1:55" ht="25" customHeight="1" x14ac:dyDescent="0.35">
      <c r="A274" s="255" t="s">
        <v>151</v>
      </c>
      <c r="B274" s="255"/>
      <c r="C274" s="255"/>
      <c r="D274" s="255"/>
      <c r="E274" s="255"/>
      <c r="F274" s="255"/>
      <c r="G274" s="255"/>
      <c r="H274" s="253">
        <v>0.16900000000000001</v>
      </c>
      <c r="I274" s="253">
        <v>-9.8000000000000004E-2</v>
      </c>
      <c r="J274" s="253">
        <v>-0.16600000000000001</v>
      </c>
      <c r="K274" s="253">
        <v>-1E-3</v>
      </c>
      <c r="L274" s="245"/>
      <c r="M274" s="249"/>
      <c r="N274" s="249"/>
      <c r="O274" s="249"/>
      <c r="P274" s="249"/>
      <c r="Q274" s="249"/>
      <c r="R274" s="249"/>
      <c r="S274" s="249"/>
      <c r="T274" s="249"/>
      <c r="U274" s="249"/>
      <c r="V274" s="249"/>
      <c r="W274" s="249"/>
      <c r="X274" s="249"/>
      <c r="Y274" s="249"/>
      <c r="Z274" s="107"/>
      <c r="AA274" s="107"/>
      <c r="AB274" s="107"/>
      <c r="AC274" s="107"/>
      <c r="AD274" s="107"/>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row>
    <row r="275" spans="1:55" ht="25" customHeight="1" x14ac:dyDescent="0.35">
      <c r="H275" s="245"/>
      <c r="I275" s="245"/>
      <c r="J275" s="245"/>
      <c r="K275" s="245"/>
      <c r="L275" s="245">
        <f>L266/365*L3</f>
        <v>185016473.32376257</v>
      </c>
      <c r="M275" s="249"/>
      <c r="N275" s="249"/>
      <c r="O275" s="249"/>
      <c r="P275" s="249"/>
      <c r="Q275" s="249"/>
      <c r="R275" s="249"/>
      <c r="S275" s="249"/>
      <c r="T275" s="249"/>
      <c r="U275" s="249"/>
      <c r="V275" s="249"/>
      <c r="W275" s="249"/>
      <c r="X275" s="249"/>
      <c r="Y275" s="249"/>
      <c r="Z275" s="107"/>
      <c r="AA275" s="107"/>
      <c r="AB275" s="107"/>
      <c r="AC275" s="107"/>
      <c r="AD275" s="107"/>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row>
    <row r="276" spans="1:55" ht="25" customHeight="1" x14ac:dyDescent="0.35">
      <c r="A276" s="177" t="s">
        <v>160</v>
      </c>
      <c r="H276" s="245">
        <f>H267/365*H3</f>
        <v>0</v>
      </c>
      <c r="I276" s="245">
        <f>I267/365*I3</f>
        <v>146209316.14739713</v>
      </c>
      <c r="J276" s="245">
        <f>J267/365*J3</f>
        <v>151991233.09348825</v>
      </c>
      <c r="K276" s="245">
        <f>K267/365*K3</f>
        <v>170120313.92762288</v>
      </c>
      <c r="L276" s="245"/>
      <c r="M276" s="249"/>
      <c r="N276" s="249"/>
      <c r="O276" s="249"/>
      <c r="P276" s="249"/>
      <c r="Q276" s="249"/>
      <c r="R276" s="249"/>
      <c r="S276" s="249"/>
      <c r="T276" s="249"/>
      <c r="U276" s="249"/>
      <c r="V276" s="249"/>
      <c r="W276" s="249"/>
      <c r="X276" s="249"/>
      <c r="Y276" s="249"/>
      <c r="Z276" s="107"/>
      <c r="AA276" s="107"/>
      <c r="AB276" s="107"/>
      <c r="AC276" s="107"/>
      <c r="AD276" s="107"/>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row>
    <row r="277" spans="1:55" ht="25" customHeight="1" x14ac:dyDescent="0.35">
      <c r="H277" s="245"/>
      <c r="I277" s="245"/>
      <c r="J277" s="245"/>
      <c r="K277" s="245"/>
      <c r="L277" s="245"/>
      <c r="M277" s="249"/>
      <c r="N277" s="249"/>
      <c r="O277" s="249"/>
      <c r="P277" s="249"/>
      <c r="Q277" s="249"/>
      <c r="R277" s="249"/>
      <c r="S277" s="249"/>
      <c r="T277" s="249"/>
      <c r="U277" s="249"/>
      <c r="V277" s="249"/>
      <c r="W277" s="249"/>
      <c r="X277" s="249"/>
      <c r="Y277" s="249"/>
      <c r="Z277" s="107"/>
      <c r="AA277" s="107"/>
      <c r="AB277" s="107"/>
      <c r="AC277" s="107"/>
      <c r="AD277" s="107"/>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row>
    <row r="278" spans="1:55" ht="25" customHeight="1" x14ac:dyDescent="0.35">
      <c r="H278" s="245"/>
      <c r="I278" s="245"/>
      <c r="J278" s="245"/>
      <c r="K278" s="245"/>
      <c r="L278" s="245"/>
      <c r="M278" s="245"/>
      <c r="N278" s="245"/>
      <c r="O278" s="245"/>
      <c r="P278" s="245"/>
      <c r="Q278" s="245"/>
      <c r="R278" s="245"/>
      <c r="S278" s="245"/>
      <c r="T278" s="245"/>
      <c r="U278" s="245"/>
      <c r="V278" s="245"/>
      <c r="W278" s="245"/>
      <c r="X278" s="245"/>
      <c r="Y278" s="245"/>
      <c r="Z278" s="107"/>
      <c r="AA278" s="107"/>
      <c r="AB278" s="107"/>
      <c r="AC278" s="107"/>
      <c r="AD278" s="107"/>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row>
    <row r="279" spans="1:55" ht="25" customHeight="1" x14ac:dyDescent="0.35">
      <c r="H279" s="245"/>
      <c r="I279" s="245"/>
      <c r="J279" s="245"/>
      <c r="K279" s="245"/>
      <c r="L279" s="245"/>
      <c r="M279" s="245"/>
      <c r="N279" s="245"/>
      <c r="O279" s="245"/>
      <c r="P279" s="245"/>
      <c r="Q279" s="245"/>
      <c r="R279" s="245"/>
      <c r="S279" s="245"/>
      <c r="T279" s="245"/>
      <c r="U279" s="245"/>
      <c r="V279" s="245"/>
      <c r="W279" s="245"/>
      <c r="X279" s="245"/>
      <c r="Y279" s="245"/>
      <c r="Z279" s="107"/>
      <c r="AA279" s="107"/>
      <c r="AB279" s="107"/>
      <c r="AC279" s="107"/>
      <c r="AD279" s="107"/>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row>
    <row r="280" spans="1:55" ht="25" customHeight="1" x14ac:dyDescent="0.35">
      <c r="H280" s="245"/>
      <c r="I280" s="245"/>
      <c r="J280" s="245"/>
      <c r="K280" s="245"/>
      <c r="L280" s="245"/>
      <c r="M280" s="245"/>
      <c r="N280" s="245"/>
      <c r="O280" s="245"/>
      <c r="P280" s="245"/>
      <c r="Q280" s="245"/>
      <c r="R280" s="245"/>
      <c r="S280" s="245"/>
      <c r="T280" s="245"/>
      <c r="U280" s="245"/>
      <c r="V280" s="245"/>
      <c r="W280" s="245"/>
      <c r="X280" s="245"/>
      <c r="Y280" s="245"/>
      <c r="Z280" s="107"/>
      <c r="AA280" s="107"/>
      <c r="AB280" s="107"/>
      <c r="AC280" s="107"/>
      <c r="AD280" s="107"/>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row>
    <row r="281" spans="1:55" ht="25" customHeight="1" x14ac:dyDescent="0.35">
      <c r="H281" s="245"/>
      <c r="I281" s="245"/>
      <c r="J281" s="245"/>
      <c r="K281" s="245"/>
      <c r="L281" s="245"/>
      <c r="M281" s="245"/>
      <c r="N281" s="245"/>
      <c r="O281" s="245"/>
      <c r="P281" s="245"/>
      <c r="Q281" s="245"/>
      <c r="R281" s="245"/>
      <c r="S281" s="245"/>
      <c r="T281" s="245"/>
      <c r="U281" s="245"/>
      <c r="V281" s="245"/>
      <c r="W281" s="245"/>
      <c r="X281" s="245"/>
      <c r="Y281" s="245"/>
      <c r="Z281" s="107"/>
      <c r="AA281" s="107"/>
      <c r="AB281" s="107"/>
      <c r="AC281" s="107"/>
      <c r="AD281" s="107"/>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row>
    <row r="282" spans="1:55" ht="25" customHeight="1" x14ac:dyDescent="0.35">
      <c r="H282" s="245"/>
      <c r="I282" s="245"/>
      <c r="J282" s="245"/>
      <c r="K282" s="245"/>
      <c r="L282" s="245"/>
      <c r="M282" s="245"/>
      <c r="N282" s="245"/>
      <c r="O282" s="245"/>
      <c r="P282" s="245"/>
      <c r="Q282" s="245"/>
      <c r="R282" s="245"/>
      <c r="S282" s="245"/>
      <c r="T282" s="245"/>
      <c r="U282" s="245"/>
      <c r="V282" s="245"/>
      <c r="W282" s="245"/>
      <c r="X282" s="245"/>
      <c r="Y282" s="245"/>
      <c r="Z282" s="107"/>
      <c r="AA282" s="107"/>
      <c r="AB282" s="107"/>
      <c r="AC282" s="107"/>
      <c r="AD282" s="107"/>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row>
    <row r="283" spans="1:55" ht="25" customHeight="1" x14ac:dyDescent="0.35">
      <c r="H283" s="245"/>
      <c r="I283" s="245"/>
      <c r="J283" s="245"/>
      <c r="K283" s="245"/>
      <c r="L283" s="245"/>
      <c r="M283" s="245">
        <v>1</v>
      </c>
      <c r="N283" s="245">
        <v>2</v>
      </c>
      <c r="O283" s="245">
        <v>3</v>
      </c>
      <c r="P283" s="245"/>
      <c r="Q283" s="245"/>
      <c r="R283" s="245"/>
      <c r="S283" s="245"/>
      <c r="T283" s="245"/>
      <c r="U283" s="245"/>
      <c r="V283" s="245"/>
      <c r="W283" s="245"/>
      <c r="X283" s="245"/>
      <c r="Y283" s="245"/>
      <c r="Z283" s="107"/>
      <c r="AA283" s="107"/>
      <c r="AB283" s="107"/>
      <c r="AC283" s="107"/>
      <c r="AD283" s="107"/>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row>
    <row r="284" spans="1:55" ht="25" customHeight="1" x14ac:dyDescent="0.35">
      <c r="H284" s="245"/>
      <c r="I284" s="245"/>
      <c r="J284" s="245"/>
      <c r="K284" s="245"/>
      <c r="L284" s="200" t="s">
        <v>25</v>
      </c>
      <c r="M284" s="200" t="s">
        <v>50</v>
      </c>
      <c r="N284" s="200" t="s">
        <v>51</v>
      </c>
      <c r="O284" s="200" t="s">
        <v>52</v>
      </c>
      <c r="P284" s="200"/>
      <c r="Q284" s="200"/>
      <c r="R284" s="200"/>
      <c r="S284" s="200"/>
      <c r="T284" s="200"/>
      <c r="U284" s="200"/>
      <c r="V284" s="200"/>
      <c r="W284" s="200"/>
      <c r="X284" s="200"/>
      <c r="Y284" s="200"/>
      <c r="Z284" s="107"/>
      <c r="AA284" s="107"/>
      <c r="AB284" s="107"/>
      <c r="AC284" s="107"/>
      <c r="AD284" s="107"/>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row>
    <row r="285" spans="1:55" ht="25" customHeight="1" x14ac:dyDescent="0.35">
      <c r="H285" s="245"/>
      <c r="I285" s="245"/>
      <c r="J285" s="245"/>
      <c r="K285" s="245"/>
      <c r="L285" s="201" t="s">
        <v>161</v>
      </c>
      <c r="M285" s="202" t="e">
        <f>M217</f>
        <v>#DIV/0!</v>
      </c>
      <c r="N285" s="202" t="e">
        <f>N217</f>
        <v>#DIV/0!</v>
      </c>
      <c r="O285" s="202" t="e">
        <f>O217</f>
        <v>#DIV/0!</v>
      </c>
      <c r="P285" s="202"/>
      <c r="Q285" s="202"/>
      <c r="R285" s="202"/>
      <c r="S285" s="202"/>
      <c r="T285" s="202"/>
      <c r="U285" s="202"/>
      <c r="V285" s="202"/>
      <c r="W285" s="202"/>
      <c r="X285" s="202"/>
      <c r="Y285" s="202"/>
      <c r="Z285" s="107"/>
      <c r="AA285" s="107"/>
      <c r="AB285" s="107"/>
      <c r="AC285" s="107"/>
      <c r="AD285" s="107"/>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row>
    <row r="286" spans="1:55" ht="25" customHeight="1" x14ac:dyDescent="0.35">
      <c r="H286" s="245"/>
      <c r="I286" s="245"/>
      <c r="J286" s="245"/>
      <c r="K286" s="245"/>
      <c r="L286" s="201" t="s">
        <v>162</v>
      </c>
      <c r="M286" s="202">
        <f>[1]CAPEX!L29</f>
        <v>-1932.7551020408162</v>
      </c>
      <c r="N286" s="202">
        <f>[1]CAPEX!M29</f>
        <v>-2200.3673469387754</v>
      </c>
      <c r="O286" s="202">
        <f>[1]CAPEX!N29</f>
        <v>-2319.3061224489793</v>
      </c>
      <c r="P286" s="202"/>
      <c r="Q286" s="202"/>
      <c r="R286" s="202"/>
      <c r="S286" s="202"/>
      <c r="T286" s="202"/>
      <c r="U286" s="202"/>
      <c r="V286" s="202"/>
      <c r="W286" s="202"/>
      <c r="X286" s="202"/>
      <c r="Y286" s="202"/>
      <c r="Z286" s="107"/>
      <c r="AA286" s="107"/>
      <c r="AB286" s="107"/>
      <c r="AC286" s="107"/>
      <c r="AD286" s="107"/>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row>
    <row r="287" spans="1:55" ht="25" customHeight="1" x14ac:dyDescent="0.35">
      <c r="H287" s="245"/>
      <c r="I287" s="245"/>
      <c r="J287" s="245"/>
      <c r="K287" s="245"/>
      <c r="L287" s="201" t="s">
        <v>163</v>
      </c>
      <c r="M287" s="202">
        <f>SUM(M225,M228)</f>
        <v>2486.2225204932265</v>
      </c>
      <c r="N287" s="202">
        <f>SUM(N225,N228)</f>
        <v>2642.6507810816283</v>
      </c>
      <c r="O287" s="202">
        <f>SUM(O225,O228)</f>
        <v>2809.9971011161433</v>
      </c>
      <c r="P287" s="202"/>
      <c r="Q287" s="202"/>
      <c r="R287" s="202"/>
      <c r="S287" s="202"/>
      <c r="T287" s="202"/>
      <c r="U287" s="202"/>
      <c r="V287" s="202"/>
      <c r="W287" s="202"/>
      <c r="X287" s="202"/>
      <c r="Y287" s="202"/>
      <c r="Z287" s="107"/>
      <c r="AA287" s="107"/>
      <c r="AB287" s="107"/>
      <c r="AC287" s="107"/>
      <c r="AD287" s="107"/>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row>
    <row r="288" spans="1:55" ht="25" customHeight="1" x14ac:dyDescent="0.35">
      <c r="H288" s="245"/>
      <c r="I288" s="245"/>
      <c r="J288" s="245"/>
      <c r="K288" s="245"/>
      <c r="L288" s="201" t="s">
        <v>164</v>
      </c>
      <c r="M288" s="202" t="e">
        <f>M256</f>
        <v>#DIV/0!</v>
      </c>
      <c r="N288" s="202" t="e">
        <f>N256</f>
        <v>#DIV/0!</v>
      </c>
      <c r="O288" s="202" t="e">
        <f>O256</f>
        <v>#DIV/0!</v>
      </c>
      <c r="P288" s="202"/>
      <c r="Q288" s="202"/>
      <c r="R288" s="202"/>
      <c r="S288" s="202"/>
      <c r="T288" s="202"/>
      <c r="U288" s="202"/>
      <c r="V288" s="202"/>
      <c r="W288" s="202"/>
      <c r="X288" s="202"/>
      <c r="Y288" s="202"/>
      <c r="Z288" s="107"/>
      <c r="AA288" s="107"/>
      <c r="AB288" s="107"/>
      <c r="AC288" s="107"/>
      <c r="AD288" s="107"/>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row>
    <row r="289" spans="1:55" ht="25" customHeight="1" x14ac:dyDescent="0.35">
      <c r="H289" s="245"/>
      <c r="I289" s="245"/>
      <c r="J289" s="245"/>
      <c r="K289" s="245"/>
      <c r="L289" s="201" t="s">
        <v>165</v>
      </c>
      <c r="M289" s="202">
        <f>AK6</f>
        <v>932.10921735334068</v>
      </c>
      <c r="N289" s="202">
        <f>AL6</f>
        <v>67.354131148076704</v>
      </c>
      <c r="O289" s="202">
        <f>AM6</f>
        <v>75.579649267618151</v>
      </c>
      <c r="P289" s="202"/>
      <c r="Q289" s="202"/>
      <c r="R289" s="202"/>
      <c r="S289" s="202"/>
      <c r="T289" s="202"/>
      <c r="U289" s="202"/>
      <c r="V289" s="202"/>
      <c r="W289" s="202"/>
      <c r="X289" s="202"/>
      <c r="Y289" s="202"/>
      <c r="Z289" s="107"/>
      <c r="AA289" s="107"/>
      <c r="AB289" s="107"/>
      <c r="AC289" s="107"/>
      <c r="AD289" s="107"/>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row>
    <row r="290" spans="1:55" ht="25" customHeight="1" x14ac:dyDescent="0.35">
      <c r="H290" s="245"/>
      <c r="I290" s="245"/>
      <c r="J290" s="245"/>
      <c r="K290" s="245"/>
      <c r="L290" s="203" t="s">
        <v>166</v>
      </c>
      <c r="M290" s="204" t="e">
        <f>SUM(M256,M228,M225,M217,AK6,[1]CAPEX!L29)</f>
        <v>#DIV/0!</v>
      </c>
      <c r="N290" s="204" t="e">
        <f>SUM(N256,N228,N225,N217,AL6,[1]CAPEX!M29)</f>
        <v>#DIV/0!</v>
      </c>
      <c r="O290" s="204" t="e">
        <f>SUM(O256,O228,O225,O217,AM6,[1]CAPEX!N29)</f>
        <v>#DIV/0!</v>
      </c>
      <c r="P290" s="204"/>
      <c r="Q290" s="204"/>
      <c r="R290" s="204"/>
      <c r="S290" s="204"/>
      <c r="T290" s="204"/>
      <c r="U290" s="204"/>
      <c r="V290" s="204"/>
      <c r="W290" s="204"/>
      <c r="X290" s="204"/>
      <c r="Y290" s="204"/>
      <c r="Z290" s="107"/>
      <c r="AA290" s="107"/>
      <c r="AB290" s="107"/>
      <c r="AC290" s="107"/>
      <c r="AD290" s="107"/>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row>
    <row r="291" spans="1:55" ht="25" customHeight="1" x14ac:dyDescent="0.35">
      <c r="H291" s="245"/>
      <c r="I291" s="245"/>
      <c r="J291" s="245"/>
      <c r="K291" s="245"/>
      <c r="L291" s="205" t="s">
        <v>167</v>
      </c>
      <c r="M291" s="206">
        <f>[1]CAPM!M5-1%</f>
        <v>8.6952277172036671E-2</v>
      </c>
      <c r="N291" s="206"/>
      <c r="O291" s="206"/>
      <c r="P291" s="206"/>
      <c r="Q291" s="206"/>
      <c r="R291" s="206"/>
      <c r="S291" s="206"/>
      <c r="T291" s="206"/>
      <c r="U291" s="206"/>
      <c r="V291" s="206"/>
      <c r="W291" s="206"/>
      <c r="X291" s="206"/>
      <c r="Y291" s="206"/>
      <c r="Z291" s="107"/>
      <c r="AA291" s="107"/>
      <c r="AB291" s="107"/>
      <c r="AC291" s="107"/>
      <c r="AD291" s="107"/>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row>
    <row r="292" spans="1:55" ht="25" customHeight="1" x14ac:dyDescent="0.35">
      <c r="H292" s="245"/>
      <c r="I292" s="245"/>
      <c r="J292" s="245"/>
      <c r="K292" s="245"/>
      <c r="L292" s="205" t="s">
        <v>168</v>
      </c>
      <c r="M292" s="206">
        <v>2.6456159660860699E-2</v>
      </c>
      <c r="N292" s="206"/>
      <c r="O292" s="206"/>
      <c r="P292" s="206"/>
      <c r="Q292" s="206"/>
      <c r="R292" s="206"/>
      <c r="S292" s="206"/>
      <c r="T292" s="206"/>
      <c r="U292" s="206"/>
      <c r="V292" s="206"/>
      <c r="W292" s="206"/>
      <c r="X292" s="206"/>
      <c r="Y292" s="206"/>
      <c r="Z292" s="107"/>
      <c r="AA292" s="107"/>
      <c r="AB292" s="107"/>
      <c r="AC292" s="107"/>
      <c r="AD292" s="107"/>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row>
    <row r="293" spans="1:55" ht="25" customHeight="1" x14ac:dyDescent="0.35">
      <c r="H293" s="245"/>
      <c r="I293" s="245"/>
      <c r="J293" s="245"/>
      <c r="K293" s="245"/>
      <c r="L293" s="205" t="s">
        <v>169</v>
      </c>
      <c r="M293" s="207">
        <f>AB160</f>
        <v>0</v>
      </c>
      <c r="N293" s="207"/>
      <c r="O293" s="207"/>
      <c r="P293" s="207"/>
      <c r="Q293" s="207"/>
      <c r="R293" s="207"/>
      <c r="S293" s="207"/>
      <c r="T293" s="207"/>
      <c r="U293" s="207"/>
      <c r="V293" s="207"/>
      <c r="W293" s="207"/>
      <c r="X293" s="207"/>
      <c r="Y293" s="207"/>
      <c r="Z293" s="107"/>
      <c r="AA293" s="107"/>
      <c r="AB293" s="107"/>
      <c r="AC293" s="107"/>
      <c r="AD293" s="107"/>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row>
    <row r="294" spans="1:55" ht="25" customHeight="1" x14ac:dyDescent="0.35">
      <c r="H294" s="245"/>
      <c r="I294" s="245"/>
      <c r="J294" s="245"/>
      <c r="K294" s="245"/>
      <c r="L294" s="205" t="s">
        <v>99</v>
      </c>
      <c r="M294" s="208" t="e">
        <f>M290</f>
        <v>#DIV/0!</v>
      </c>
      <c r="N294" s="208" t="e">
        <f t="shared" ref="N294:O294" si="242">N290</f>
        <v>#DIV/0!</v>
      </c>
      <c r="O294" s="208" t="e">
        <f t="shared" si="242"/>
        <v>#DIV/0!</v>
      </c>
      <c r="P294" s="208"/>
      <c r="Q294" s="208"/>
      <c r="R294" s="208"/>
      <c r="S294" s="208"/>
      <c r="T294" s="208"/>
      <c r="U294" s="208"/>
      <c r="V294" s="208"/>
      <c r="W294" s="208"/>
      <c r="X294" s="208"/>
      <c r="Y294" s="208"/>
      <c r="Z294" s="107"/>
      <c r="AA294" s="107"/>
      <c r="AB294" s="107"/>
      <c r="AC294" s="107"/>
      <c r="AD294" s="107"/>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row>
    <row r="295" spans="1:55" ht="25" customHeight="1" x14ac:dyDescent="0.35">
      <c r="H295" s="245"/>
      <c r="I295" s="245"/>
      <c r="J295" s="245"/>
      <c r="K295" s="245"/>
      <c r="L295" s="205" t="str">
        <f>L302</f>
        <v>Equity value</v>
      </c>
      <c r="M295" s="207">
        <f>NPV(M291,M166:AA166)</f>
        <v>0</v>
      </c>
      <c r="N295" s="207"/>
      <c r="O295" s="207"/>
      <c r="P295" s="207"/>
      <c r="Q295" s="207"/>
      <c r="R295" s="207"/>
      <c r="S295" s="207"/>
      <c r="T295" s="207"/>
      <c r="U295" s="207"/>
      <c r="V295" s="207"/>
      <c r="W295" s="207"/>
      <c r="X295" s="207"/>
      <c r="Y295" s="207"/>
      <c r="Z295" s="107"/>
      <c r="AA295" s="107"/>
      <c r="AB295" s="107"/>
      <c r="AC295" s="107"/>
      <c r="AD295" s="107"/>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row>
    <row r="296" spans="1:55" ht="25" customHeight="1" x14ac:dyDescent="0.35">
      <c r="H296" s="245"/>
      <c r="I296" s="245"/>
      <c r="J296" s="245"/>
      <c r="K296" s="245"/>
      <c r="L296" s="205" t="s">
        <v>170</v>
      </c>
      <c r="M296" s="207">
        <v>2.09</v>
      </c>
      <c r="N296" s="207"/>
      <c r="O296" s="207"/>
      <c r="P296" s="207"/>
      <c r="Q296" s="207"/>
      <c r="R296" s="207"/>
      <c r="S296" s="207"/>
      <c r="T296" s="207"/>
      <c r="U296" s="207"/>
      <c r="V296" s="207"/>
      <c r="W296" s="207"/>
      <c r="X296" s="207"/>
      <c r="Y296" s="207"/>
      <c r="Z296" s="107"/>
      <c r="AA296" s="107"/>
      <c r="AB296" s="107"/>
      <c r="AC296" s="107"/>
      <c r="AD296" s="107"/>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row>
    <row r="297" spans="1:55" ht="25" customHeight="1" x14ac:dyDescent="0.35">
      <c r="H297" s="245"/>
      <c r="I297" s="245"/>
      <c r="J297" s="245"/>
      <c r="K297" s="245"/>
      <c r="L297" s="205" t="s">
        <v>171</v>
      </c>
      <c r="M297" s="205">
        <f>M295/M296</f>
        <v>0</v>
      </c>
      <c r="N297" s="205"/>
      <c r="O297" s="205"/>
      <c r="P297" s="205"/>
      <c r="Q297" s="205"/>
      <c r="R297" s="205"/>
      <c r="S297" s="205"/>
      <c r="T297" s="205"/>
      <c r="U297" s="205"/>
      <c r="V297" s="205"/>
      <c r="W297" s="205"/>
      <c r="X297" s="205"/>
      <c r="Y297" s="205"/>
      <c r="Z297" s="107"/>
      <c r="AA297" s="107"/>
      <c r="AB297" s="107"/>
      <c r="AC297" s="107"/>
      <c r="AD297" s="107"/>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row>
    <row r="298" spans="1:55" ht="25" customHeight="1" x14ac:dyDescent="0.35">
      <c r="H298" s="245"/>
      <c r="I298" s="245"/>
      <c r="J298" s="245"/>
      <c r="K298" s="245"/>
      <c r="L298" s="245"/>
      <c r="M298" s="179"/>
      <c r="N298" s="179"/>
      <c r="O298" s="179"/>
      <c r="P298" s="179"/>
      <c r="Q298" s="179"/>
      <c r="R298" s="179"/>
      <c r="S298" s="179"/>
      <c r="T298" s="179"/>
      <c r="U298" s="179"/>
      <c r="V298" s="179"/>
      <c r="W298" s="179"/>
      <c r="X298" s="179"/>
      <c r="Y298" s="179"/>
      <c r="Z298" s="107"/>
      <c r="AA298" s="107"/>
      <c r="AB298" s="107"/>
      <c r="AC298" s="107"/>
      <c r="AD298" s="107"/>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row>
    <row r="299" spans="1:55" ht="25" customHeight="1" x14ac:dyDescent="0.35">
      <c r="H299" s="245"/>
      <c r="I299" s="245"/>
      <c r="J299" s="245"/>
      <c r="K299" s="245"/>
      <c r="L299" s="245" t="s">
        <v>172</v>
      </c>
      <c r="M299" s="178" t="e">
        <f>M290/(1+$M$291)^M283</f>
        <v>#DIV/0!</v>
      </c>
      <c r="N299" s="178" t="e">
        <f>N290/(1+$M$291)^N283</f>
        <v>#DIV/0!</v>
      </c>
      <c r="O299" s="178" t="e">
        <f>O290/(1+$M$291)^O283</f>
        <v>#DIV/0!</v>
      </c>
      <c r="P299" s="178"/>
      <c r="Q299" s="178"/>
      <c r="R299" s="178"/>
      <c r="S299" s="178"/>
      <c r="T299" s="178"/>
      <c r="U299" s="178"/>
      <c r="V299" s="178"/>
      <c r="W299" s="178"/>
      <c r="X299" s="178"/>
      <c r="Y299" s="178"/>
      <c r="Z299" s="107"/>
      <c r="AA299" s="107"/>
      <c r="AB299" s="107"/>
      <c r="AC299" s="107"/>
      <c r="AD299" s="107"/>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row>
    <row r="300" spans="1:55" ht="25" customHeight="1" x14ac:dyDescent="0.35">
      <c r="H300" s="245"/>
      <c r="I300" s="245"/>
      <c r="J300" s="245"/>
      <c r="K300" s="245"/>
      <c r="L300" s="245"/>
      <c r="M300" s="178">
        <f>SUM(AB161:AB161)</f>
        <v>0</v>
      </c>
      <c r="Z300" s="107"/>
      <c r="AA300" s="107"/>
      <c r="AB300" s="107"/>
      <c r="AC300" s="107"/>
      <c r="AD300" s="107"/>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row>
    <row r="301" spans="1:55" ht="25" customHeight="1" x14ac:dyDescent="0.35">
      <c r="A301" s="177" t="s">
        <v>166</v>
      </c>
      <c r="H301" s="245"/>
      <c r="I301" s="245"/>
      <c r="J301" s="245"/>
      <c r="K301" s="245"/>
      <c r="L301" s="245"/>
      <c r="M301" s="258" t="e">
        <f>M290</f>
        <v>#DIV/0!</v>
      </c>
      <c r="N301" s="258" t="e">
        <f>N290</f>
        <v>#DIV/0!</v>
      </c>
      <c r="O301" s="258" t="e">
        <f>O290</f>
        <v>#DIV/0!</v>
      </c>
      <c r="P301" s="258"/>
      <c r="Q301" s="258"/>
      <c r="R301" s="258"/>
      <c r="S301" s="258"/>
      <c r="T301" s="258"/>
      <c r="U301" s="258"/>
      <c r="V301" s="258"/>
      <c r="W301" s="258"/>
      <c r="X301" s="258"/>
      <c r="Y301" s="258"/>
      <c r="Z301" s="107"/>
      <c r="AA301" s="107"/>
      <c r="AB301" s="107"/>
      <c r="AC301" s="107"/>
      <c r="AD301" s="107"/>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row>
    <row r="302" spans="1:55" ht="25" customHeight="1" x14ac:dyDescent="0.35">
      <c r="H302" s="245"/>
      <c r="I302" s="245"/>
      <c r="J302" s="245"/>
      <c r="K302" s="245"/>
      <c r="L302" s="245" t="s">
        <v>173</v>
      </c>
      <c r="M302" s="259">
        <f>NPV(M291,M173:AA173)</f>
        <v>0.96006190755797083</v>
      </c>
      <c r="Z302" s="107"/>
      <c r="AA302" s="107"/>
      <c r="AB302" s="107"/>
      <c r="AC302" s="107"/>
      <c r="AD302" s="107"/>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row>
    <row r="303" spans="1:55" ht="25" customHeight="1" x14ac:dyDescent="0.35">
      <c r="H303" s="245"/>
      <c r="I303" s="245"/>
      <c r="J303" s="245"/>
      <c r="K303" s="245"/>
      <c r="L303" s="245" t="s">
        <v>174</v>
      </c>
      <c r="M303" s="177">
        <v>2.09</v>
      </c>
      <c r="Z303" s="107"/>
      <c r="AA303" s="107"/>
      <c r="AB303" s="107"/>
      <c r="AC303" s="107"/>
      <c r="AD303" s="107"/>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row>
    <row r="304" spans="1:55" ht="25" customHeight="1" x14ac:dyDescent="0.35">
      <c r="H304" s="245"/>
      <c r="I304" s="245"/>
      <c r="J304" s="245"/>
      <c r="K304" s="245"/>
      <c r="L304" s="245" t="s">
        <v>175</v>
      </c>
      <c r="M304" s="178">
        <f>M302/M303</f>
        <v>0.45935976438180426</v>
      </c>
      <c r="Z304" s="107"/>
      <c r="AA304" s="107"/>
      <c r="AB304" s="107"/>
      <c r="AC304" s="107"/>
      <c r="AD304" s="107"/>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row>
    <row r="305" spans="1:55" ht="25" customHeight="1" x14ac:dyDescent="0.35">
      <c r="H305" s="245"/>
      <c r="I305" s="245"/>
      <c r="J305" s="245"/>
      <c r="K305" s="245"/>
      <c r="L305" s="245"/>
      <c r="Z305" s="107"/>
      <c r="AA305" s="107"/>
      <c r="AB305" s="107"/>
      <c r="AC305" s="107"/>
      <c r="AD305" s="107"/>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row>
    <row r="306" spans="1:55" ht="25" customHeight="1" x14ac:dyDescent="0.35">
      <c r="H306" s="245"/>
      <c r="I306" s="245"/>
      <c r="J306" s="245"/>
      <c r="K306" s="245"/>
      <c r="L306" s="245"/>
      <c r="Z306" s="107"/>
      <c r="AA306" s="107"/>
      <c r="AB306" s="107"/>
      <c r="AC306" s="107"/>
      <c r="AD306" s="107"/>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row>
    <row r="307" spans="1:55" ht="25" customHeight="1" x14ac:dyDescent="0.35">
      <c r="H307" s="245"/>
      <c r="I307" s="245"/>
      <c r="J307" s="245"/>
      <c r="K307" s="245"/>
      <c r="L307" s="245"/>
      <c r="Z307" s="107"/>
      <c r="AA307" s="107"/>
      <c r="AB307" s="107"/>
      <c r="AC307" s="107"/>
      <c r="AD307" s="107"/>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row>
    <row r="308" spans="1:55" ht="25" customHeight="1" x14ac:dyDescent="0.35">
      <c r="L308" s="245"/>
      <c r="Z308" s="107"/>
      <c r="AA308" s="107"/>
      <c r="AB308" s="107"/>
      <c r="AC308" s="107"/>
      <c r="AD308" s="107"/>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row>
    <row r="309" spans="1:55" ht="25" customHeight="1" x14ac:dyDescent="0.35">
      <c r="A309" s="247" t="s">
        <v>139</v>
      </c>
      <c r="B309" s="247"/>
      <c r="C309" s="247"/>
      <c r="D309" s="247"/>
      <c r="E309" s="247"/>
      <c r="F309" s="247"/>
      <c r="G309" s="247"/>
      <c r="H309" s="224">
        <v>3368754</v>
      </c>
      <c r="I309" s="224">
        <v>3457704</v>
      </c>
      <c r="J309" s="224">
        <v>4157129</v>
      </c>
      <c r="K309" s="224">
        <v>4355509</v>
      </c>
      <c r="L309" s="245"/>
      <c r="Z309" s="107"/>
      <c r="AA309" s="107"/>
      <c r="AB309" s="107"/>
      <c r="AC309" s="107"/>
      <c r="AD309" s="107"/>
      <c r="AE309" s="107"/>
      <c r="AF309" s="107"/>
      <c r="AG309" s="107"/>
      <c r="AH309" s="107"/>
      <c r="AI309" s="107"/>
      <c r="AJ309" s="107"/>
      <c r="AK309" s="107"/>
      <c r="AL309" s="107"/>
      <c r="AM309" s="107"/>
      <c r="AN309" s="107"/>
      <c r="AO309" s="107"/>
      <c r="AP309" s="107"/>
      <c r="AQ309" s="107"/>
      <c r="AR309" s="107"/>
      <c r="AS309" s="107"/>
      <c r="AT309" s="107"/>
      <c r="AU309" s="107"/>
      <c r="AV309" s="107"/>
      <c r="AW309" s="107"/>
      <c r="AX309" s="107"/>
      <c r="AY309" s="107"/>
      <c r="AZ309" s="107"/>
      <c r="BA309" s="107"/>
      <c r="BB309" s="107"/>
      <c r="BC309" s="107"/>
    </row>
    <row r="310" spans="1:55" ht="25" customHeight="1" x14ac:dyDescent="0.35">
      <c r="H310" s="178" t="e">
        <f>H309/H3</f>
        <v>#DIV/0!</v>
      </c>
      <c r="I310" s="246"/>
      <c r="J310" s="246"/>
      <c r="K310" s="246"/>
      <c r="L310" s="245"/>
      <c r="M310" s="177">
        <v>1</v>
      </c>
      <c r="N310" s="177">
        <v>2</v>
      </c>
      <c r="O310" s="177">
        <v>3</v>
      </c>
      <c r="Z310" s="107"/>
      <c r="AA310" s="107"/>
      <c r="AB310" s="107"/>
      <c r="AC310" s="107"/>
      <c r="AD310" s="107"/>
      <c r="AE310" s="107"/>
      <c r="AF310" s="107"/>
      <c r="AG310" s="107"/>
      <c r="AH310" s="107"/>
      <c r="AI310" s="107"/>
      <c r="AJ310" s="107"/>
      <c r="AK310" s="107"/>
      <c r="AL310" s="107"/>
      <c r="AM310" s="107"/>
      <c r="AN310" s="107"/>
      <c r="AO310" s="107"/>
      <c r="AP310" s="107"/>
      <c r="AQ310" s="107"/>
      <c r="AR310" s="107"/>
      <c r="AS310" s="107"/>
      <c r="AT310" s="107"/>
      <c r="AU310" s="107"/>
      <c r="AV310" s="107"/>
      <c r="AW310" s="107"/>
      <c r="AX310" s="107"/>
      <c r="AY310" s="107"/>
      <c r="AZ310" s="107"/>
      <c r="BA310" s="107"/>
      <c r="BB310" s="107"/>
      <c r="BC310" s="107"/>
    </row>
    <row r="311" spans="1:55" ht="25" customHeight="1" x14ac:dyDescent="0.35">
      <c r="I311" s="246"/>
      <c r="J311" s="246"/>
      <c r="K311" s="246"/>
      <c r="L311" s="245" t="s">
        <v>176</v>
      </c>
      <c r="M311" s="260" t="e">
        <f>SUM(M256,M228,M225,M217,AK6,[1]CAPEX!L29)</f>
        <v>#DIV/0!</v>
      </c>
      <c r="N311" s="179" t="e">
        <f>SUM(N256,N228,N225,N217,AL6,[1]CAPEX!M29)</f>
        <v>#DIV/0!</v>
      </c>
      <c r="O311" s="179" t="e">
        <f>SUM(O256,O228,O225,O217,AM6,[1]CAPEX!N29)</f>
        <v>#DIV/0!</v>
      </c>
      <c r="P311" s="179"/>
      <c r="Q311" s="179"/>
      <c r="R311" s="179"/>
      <c r="S311" s="179"/>
      <c r="T311" s="179"/>
      <c r="U311" s="179"/>
      <c r="V311" s="179"/>
      <c r="W311" s="179"/>
      <c r="X311" s="179"/>
      <c r="Y311" s="179"/>
      <c r="Z311" s="107"/>
      <c r="AA311" s="107"/>
      <c r="AB311" s="107"/>
      <c r="AC311" s="107"/>
      <c r="AD311" s="107"/>
      <c r="AE311" s="107"/>
      <c r="AF311" s="107"/>
      <c r="AG311" s="107"/>
      <c r="AH311" s="107"/>
      <c r="AI311" s="107"/>
      <c r="AJ311" s="107"/>
      <c r="AK311" s="107"/>
      <c r="AL311" s="107"/>
      <c r="AM311" s="107"/>
      <c r="AN311" s="107"/>
      <c r="AO311" s="107"/>
      <c r="AP311" s="107"/>
      <c r="AQ311" s="107"/>
      <c r="AR311" s="107"/>
      <c r="AS311" s="107"/>
      <c r="AT311" s="107"/>
      <c r="AU311" s="107"/>
      <c r="AV311" s="107"/>
      <c r="AW311" s="107"/>
      <c r="AX311" s="107"/>
      <c r="AY311" s="107"/>
      <c r="AZ311" s="107"/>
      <c r="BA311" s="107"/>
      <c r="BB311" s="107"/>
      <c r="BC311" s="107"/>
    </row>
    <row r="312" spans="1:55" ht="25" customHeight="1" x14ac:dyDescent="0.35">
      <c r="A312" s="219" t="s">
        <v>140</v>
      </c>
      <c r="B312" s="219"/>
      <c r="C312" s="219"/>
      <c r="D312" s="219"/>
      <c r="E312" s="219"/>
      <c r="F312" s="219"/>
      <c r="G312" s="219"/>
      <c r="H312" s="220">
        <v>5525846</v>
      </c>
      <c r="I312" s="220">
        <v>4983044</v>
      </c>
      <c r="J312" s="220">
        <v>4905069</v>
      </c>
      <c r="K312" s="220">
        <v>6773072</v>
      </c>
      <c r="L312" s="245" t="s">
        <v>177</v>
      </c>
      <c r="M312" s="187">
        <f>[1]CAPM!M5</f>
        <v>9.6952277172036666E-2</v>
      </c>
      <c r="Z312" s="107"/>
      <c r="AA312" s="107"/>
      <c r="AB312" s="107"/>
      <c r="AC312" s="107"/>
      <c r="AD312" s="107"/>
      <c r="AE312" s="107"/>
      <c r="AF312" s="107"/>
      <c r="AG312" s="107"/>
      <c r="AH312" s="107"/>
      <c r="AI312" s="107"/>
      <c r="AJ312" s="107"/>
      <c r="AK312" s="107"/>
      <c r="AL312" s="107"/>
      <c r="AM312" s="107"/>
      <c r="AN312" s="107"/>
      <c r="AO312" s="107"/>
      <c r="AP312" s="107"/>
      <c r="AQ312" s="107"/>
      <c r="AR312" s="107"/>
      <c r="AS312" s="107"/>
      <c r="AT312" s="107"/>
      <c r="AU312" s="107"/>
      <c r="AV312" s="107"/>
      <c r="AW312" s="107"/>
      <c r="AX312" s="107"/>
      <c r="AY312" s="107"/>
      <c r="AZ312" s="107"/>
      <c r="BA312" s="107"/>
    </row>
    <row r="313" spans="1:55" ht="25" customHeight="1" x14ac:dyDescent="0.35">
      <c r="A313" s="219"/>
      <c r="B313" s="219"/>
      <c r="C313" s="219"/>
      <c r="D313" s="219"/>
      <c r="E313" s="219"/>
      <c r="F313" s="219"/>
      <c r="G313" s="219"/>
      <c r="H313" s="220"/>
      <c r="I313" s="220"/>
      <c r="J313" s="220"/>
      <c r="K313" s="220"/>
      <c r="L313" s="245" t="s">
        <v>178</v>
      </c>
      <c r="M313" s="261" t="e">
        <f>AD174/100</f>
        <v>#DIV/0!</v>
      </c>
    </row>
    <row r="314" spans="1:55" ht="25" customHeight="1" x14ac:dyDescent="0.35">
      <c r="A314" s="219"/>
      <c r="B314" s="219"/>
      <c r="C314" s="219"/>
      <c r="D314" s="219"/>
      <c r="E314" s="219"/>
      <c r="F314" s="219"/>
      <c r="G314" s="219"/>
      <c r="H314" s="220"/>
      <c r="I314" s="220"/>
      <c r="J314" s="220"/>
      <c r="K314" s="220"/>
      <c r="L314" s="245" t="s">
        <v>179</v>
      </c>
      <c r="M314" s="260"/>
      <c r="N314" s="260" t="e">
        <f>N311/(1+$M$313)^N310</f>
        <v>#DIV/0!</v>
      </c>
      <c r="O314" s="260" t="e">
        <f>O311/(1+$M$313)^O310</f>
        <v>#DIV/0!</v>
      </c>
      <c r="P314" s="260"/>
      <c r="Q314" s="260"/>
      <c r="R314" s="260"/>
      <c r="S314" s="260"/>
      <c r="T314" s="260"/>
      <c r="U314" s="260"/>
      <c r="V314" s="260"/>
      <c r="W314" s="260"/>
      <c r="X314" s="260"/>
      <c r="Y314" s="260"/>
    </row>
    <row r="315" spans="1:55" ht="25" customHeight="1" x14ac:dyDescent="0.35">
      <c r="A315" s="248" t="s">
        <v>141</v>
      </c>
      <c r="B315" s="248"/>
      <c r="C315" s="248"/>
      <c r="D315" s="248"/>
      <c r="E315" s="248"/>
      <c r="F315" s="248"/>
      <c r="G315" s="248"/>
      <c r="H315" s="262">
        <v>3991065</v>
      </c>
      <c r="I315" s="262">
        <v>3648446</v>
      </c>
      <c r="J315" s="262">
        <v>3199186</v>
      </c>
      <c r="K315" s="262">
        <v>4213888</v>
      </c>
      <c r="L315" s="245" t="s">
        <v>180</v>
      </c>
      <c r="M315" s="260" t="e">
        <f>SUM(M176:AB176)</f>
        <v>#DIV/0!</v>
      </c>
    </row>
    <row r="316" spans="1:55" ht="25" customHeight="1" x14ac:dyDescent="0.35">
      <c r="A316" s="219"/>
      <c r="B316" s="219"/>
      <c r="C316" s="219"/>
      <c r="D316" s="219"/>
      <c r="E316" s="219"/>
      <c r="F316" s="219"/>
      <c r="G316" s="219"/>
      <c r="H316" s="220"/>
      <c r="I316" s="220"/>
      <c r="J316" s="220"/>
      <c r="K316" s="220"/>
      <c r="L316" s="245" t="s">
        <v>181</v>
      </c>
      <c r="M316" s="177">
        <v>2.09</v>
      </c>
    </row>
    <row r="317" spans="1:55" ht="25" customHeight="1" x14ac:dyDescent="0.35">
      <c r="I317" s="246"/>
      <c r="J317" s="246"/>
      <c r="K317" s="246"/>
      <c r="L317" s="177" t="s">
        <v>182</v>
      </c>
      <c r="M317" s="178" t="e">
        <f>M315/M316</f>
        <v>#DIV/0!</v>
      </c>
    </row>
    <row r="318" spans="1:55" ht="25" customHeight="1" x14ac:dyDescent="0.35">
      <c r="A318" s="219" t="s">
        <v>183</v>
      </c>
      <c r="B318" s="219"/>
      <c r="C318" s="219"/>
      <c r="D318" s="219"/>
      <c r="E318" s="219"/>
      <c r="F318" s="219"/>
      <c r="G318" s="219"/>
      <c r="H318" s="220">
        <v>-2150</v>
      </c>
      <c r="I318" s="220">
        <v>-2818</v>
      </c>
      <c r="J318" s="224">
        <v>-2309</v>
      </c>
      <c r="K318" s="220">
        <v>-3474</v>
      </c>
      <c r="L318" s="224">
        <v>4620497</v>
      </c>
    </row>
    <row r="319" spans="1:55" ht="25" customHeight="1" x14ac:dyDescent="0.35">
      <c r="A319" s="263" t="s">
        <v>184</v>
      </c>
      <c r="B319" s="263"/>
      <c r="C319" s="263"/>
      <c r="D319" s="263"/>
      <c r="E319" s="263"/>
      <c r="F319" s="263"/>
      <c r="G319" s="263"/>
      <c r="H319" s="264">
        <v>-38</v>
      </c>
      <c r="I319" s="264">
        <v>-88</v>
      </c>
      <c r="J319" s="224">
        <v>166</v>
      </c>
      <c r="K319" s="264">
        <v>-183</v>
      </c>
      <c r="L319" s="246"/>
    </row>
    <row r="320" spans="1:55" ht="25" customHeight="1" x14ac:dyDescent="0.35">
      <c r="A320" s="263" t="s">
        <v>185</v>
      </c>
      <c r="B320" s="263"/>
      <c r="C320" s="263"/>
      <c r="D320" s="263"/>
      <c r="E320" s="263"/>
      <c r="F320" s="263"/>
      <c r="G320" s="263"/>
      <c r="H320" s="264">
        <v>259</v>
      </c>
      <c r="I320" s="264">
        <v>-545</v>
      </c>
      <c r="J320" s="224">
        <v>-499</v>
      </c>
      <c r="K320" s="264">
        <v>-1037</v>
      </c>
      <c r="L320" s="246"/>
    </row>
    <row r="321" spans="1:13" ht="25" customHeight="1" x14ac:dyDescent="0.35">
      <c r="A321" s="265" t="s">
        <v>146</v>
      </c>
      <c r="B321" s="265"/>
      <c r="C321" s="265"/>
      <c r="D321" s="265"/>
      <c r="E321" s="265"/>
      <c r="F321" s="265"/>
      <c r="G321" s="265"/>
      <c r="H321" s="264">
        <v>-28</v>
      </c>
      <c r="I321" s="264">
        <v>6</v>
      </c>
      <c r="J321" s="224">
        <v>-36</v>
      </c>
      <c r="K321" s="264">
        <v>84</v>
      </c>
      <c r="L321" s="224">
        <v>5537563</v>
      </c>
    </row>
    <row r="322" spans="1:13" ht="25" customHeight="1" x14ac:dyDescent="0.35">
      <c r="A322" s="265" t="s">
        <v>145</v>
      </c>
      <c r="B322" s="265"/>
      <c r="C322" s="265"/>
      <c r="D322" s="265"/>
      <c r="E322" s="265"/>
      <c r="F322" s="265"/>
      <c r="G322" s="265"/>
      <c r="H322" s="264" t="s">
        <v>148</v>
      </c>
      <c r="I322" s="264">
        <v>10</v>
      </c>
      <c r="J322" s="224">
        <v>124</v>
      </c>
      <c r="K322" s="264">
        <v>11</v>
      </c>
      <c r="L322" s="224"/>
    </row>
    <row r="323" spans="1:13" ht="25" customHeight="1" x14ac:dyDescent="0.35">
      <c r="A323" s="263" t="s">
        <v>141</v>
      </c>
      <c r="B323" s="263"/>
      <c r="C323" s="263"/>
      <c r="D323" s="263"/>
      <c r="E323" s="263"/>
      <c r="F323" s="263"/>
      <c r="G323" s="263"/>
      <c r="H323" s="264">
        <v>-272</v>
      </c>
      <c r="I323" s="264">
        <v>-41</v>
      </c>
      <c r="J323" s="224">
        <v>484</v>
      </c>
      <c r="K323" s="264">
        <v>330</v>
      </c>
      <c r="L323" s="224"/>
    </row>
    <row r="324" spans="1:13" ht="25" customHeight="1" x14ac:dyDescent="0.35">
      <c r="L324" s="262">
        <v>4284158</v>
      </c>
    </row>
    <row r="325" spans="1:13" ht="25" customHeight="1" x14ac:dyDescent="0.35">
      <c r="A325" s="177" t="s">
        <v>186</v>
      </c>
      <c r="L325" s="224"/>
    </row>
    <row r="326" spans="1:13" ht="25" customHeight="1" x14ac:dyDescent="0.35">
      <c r="L326" s="246"/>
    </row>
    <row r="327" spans="1:13" ht="25" customHeight="1" x14ac:dyDescent="0.35">
      <c r="L327" s="220">
        <v>-3169</v>
      </c>
    </row>
    <row r="328" spans="1:13" ht="25" customHeight="1" x14ac:dyDescent="0.35">
      <c r="L328" s="264">
        <v>-1599</v>
      </c>
    </row>
    <row r="329" spans="1:13" ht="25" customHeight="1" x14ac:dyDescent="0.35">
      <c r="A329" s="177" t="s">
        <v>187</v>
      </c>
      <c r="L329" s="264">
        <v>318</v>
      </c>
    </row>
    <row r="330" spans="1:13" ht="25" customHeight="1" x14ac:dyDescent="0.35">
      <c r="A330" s="177" t="s">
        <v>188</v>
      </c>
      <c r="L330" s="264">
        <v>-10</v>
      </c>
      <c r="M330" s="177">
        <v>28276558.719999999</v>
      </c>
    </row>
    <row r="331" spans="1:13" ht="25" customHeight="1" x14ac:dyDescent="0.35">
      <c r="A331" s="177" t="s">
        <v>186</v>
      </c>
      <c r="L331" s="264">
        <v>0</v>
      </c>
    </row>
    <row r="332" spans="1:13" ht="25" customHeight="1" x14ac:dyDescent="0.35">
      <c r="A332" s="177" t="s">
        <v>189</v>
      </c>
      <c r="L332" s="264">
        <v>959</v>
      </c>
    </row>
    <row r="333" spans="1:13" ht="25" customHeight="1" x14ac:dyDescent="0.35">
      <c r="A333" s="177" t="s">
        <v>190</v>
      </c>
    </row>
    <row r="334" spans="1:13" ht="25" customHeight="1" x14ac:dyDescent="0.35">
      <c r="A334" s="177" t="s">
        <v>191</v>
      </c>
    </row>
    <row r="335" spans="1:13" ht="25" customHeight="1" x14ac:dyDescent="0.35">
      <c r="A335" s="177" t="s">
        <v>192</v>
      </c>
    </row>
    <row r="345" spans="1:11" ht="25" customHeight="1" x14ac:dyDescent="0.35">
      <c r="A345" s="177" t="s">
        <v>193</v>
      </c>
    </row>
    <row r="346" spans="1:11" ht="25" customHeight="1" x14ac:dyDescent="0.35">
      <c r="A346" s="177" t="s">
        <v>194</v>
      </c>
    </row>
    <row r="347" spans="1:11" ht="25" customHeight="1" x14ac:dyDescent="0.35">
      <c r="A347" s="177" t="s">
        <v>195</v>
      </c>
    </row>
    <row r="348" spans="1:11" ht="25" customHeight="1" x14ac:dyDescent="0.35">
      <c r="A348" s="177" t="s">
        <v>99</v>
      </c>
      <c r="I348" s="177">
        <v>12763327.879000001</v>
      </c>
      <c r="J348" s="177">
        <v>17470110.029999997</v>
      </c>
      <c r="K348" s="177">
        <v>20404882.979000002</v>
      </c>
    </row>
    <row r="349" spans="1:11" ht="25" customHeight="1" x14ac:dyDescent="0.35">
      <c r="A349" s="266" t="s">
        <v>196</v>
      </c>
      <c r="B349" s="266"/>
      <c r="C349" s="266"/>
      <c r="D349" s="266"/>
      <c r="E349" s="266"/>
      <c r="F349" s="266"/>
      <c r="G349" s="266"/>
      <c r="H349" s="267">
        <v>27950544</v>
      </c>
      <c r="I349" s="267">
        <v>29745906</v>
      </c>
      <c r="J349" s="267">
        <v>31967663</v>
      </c>
      <c r="K349" s="267">
        <v>34640863</v>
      </c>
    </row>
    <row r="350" spans="1:11" ht="25" customHeight="1" x14ac:dyDescent="0.35">
      <c r="A350" s="177" t="s">
        <v>197</v>
      </c>
    </row>
    <row r="351" spans="1:11" ht="25" customHeight="1" x14ac:dyDescent="0.35">
      <c r="A351" s="177" t="s">
        <v>198</v>
      </c>
    </row>
    <row r="352" spans="1:11" ht="25" customHeight="1" x14ac:dyDescent="0.35">
      <c r="A352" s="177" t="s">
        <v>193</v>
      </c>
    </row>
    <row r="353" spans="1:12" ht="25" customHeight="1" x14ac:dyDescent="0.35">
      <c r="A353" s="177" t="s">
        <v>194</v>
      </c>
    </row>
    <row r="354" spans="1:12" ht="25" customHeight="1" x14ac:dyDescent="0.35">
      <c r="A354" s="177" t="s">
        <v>195</v>
      </c>
    </row>
    <row r="357" spans="1:12" ht="25" customHeight="1" x14ac:dyDescent="0.35">
      <c r="L357" s="177">
        <v>23994511.971000001</v>
      </c>
    </row>
    <row r="358" spans="1:12" ht="25" customHeight="1" x14ac:dyDescent="0.35">
      <c r="A358" s="177" t="s">
        <v>13</v>
      </c>
      <c r="L358" s="267">
        <v>36059016</v>
      </c>
    </row>
    <row r="359" spans="1:12" ht="25" customHeight="1" x14ac:dyDescent="0.35">
      <c r="A359" s="177" t="s">
        <v>199</v>
      </c>
    </row>
    <row r="360" spans="1:12" ht="25" customHeight="1" x14ac:dyDescent="0.35">
      <c r="A360" s="177" t="s">
        <v>200</v>
      </c>
    </row>
    <row r="361" spans="1:12" ht="25" customHeight="1" x14ac:dyDescent="0.35">
      <c r="A361" s="177" t="s">
        <v>201</v>
      </c>
    </row>
    <row r="362" spans="1:12" ht="25" customHeight="1" x14ac:dyDescent="0.35">
      <c r="A362" s="177" t="s">
        <v>202</v>
      </c>
    </row>
    <row r="363" spans="1:12" ht="25" customHeight="1" x14ac:dyDescent="0.35">
      <c r="A363" s="177" t="s">
        <v>203</v>
      </c>
    </row>
    <row r="364" spans="1:12" ht="25" customHeight="1" x14ac:dyDescent="0.35">
      <c r="A364" s="177" t="s">
        <v>204</v>
      </c>
    </row>
    <row r="367" spans="1:12" ht="25" customHeight="1" x14ac:dyDescent="0.35">
      <c r="A367" s="177" t="s">
        <v>205</v>
      </c>
    </row>
    <row r="368" spans="1:12" ht="25" customHeight="1" x14ac:dyDescent="0.35">
      <c r="A368" s="177" t="s">
        <v>206</v>
      </c>
    </row>
    <row r="369" spans="1:1" ht="25" customHeight="1" x14ac:dyDescent="0.35">
      <c r="A369" s="177" t="s">
        <v>207</v>
      </c>
    </row>
    <row r="370" spans="1:1" ht="25" customHeight="1" x14ac:dyDescent="0.35">
      <c r="A370" s="177" t="s">
        <v>208</v>
      </c>
    </row>
    <row r="372" spans="1:1" ht="25" customHeight="1" x14ac:dyDescent="0.35">
      <c r="A372" s="177" t="s">
        <v>209</v>
      </c>
    </row>
    <row r="373" spans="1:1" ht="25" customHeight="1" x14ac:dyDescent="0.35">
      <c r="A373" s="177" t="s">
        <v>210</v>
      </c>
    </row>
    <row r="374" spans="1:1" ht="25" customHeight="1" x14ac:dyDescent="0.35">
      <c r="A374" s="177" t="s">
        <v>211</v>
      </c>
    </row>
    <row r="375" spans="1:1" ht="25" customHeight="1" x14ac:dyDescent="0.35">
      <c r="A375" s="177" t="s">
        <v>212</v>
      </c>
    </row>
    <row r="376" spans="1:1" ht="25" customHeight="1" x14ac:dyDescent="0.35">
      <c r="A376" s="177" t="s">
        <v>213</v>
      </c>
    </row>
    <row r="377" spans="1:1" ht="25" customHeight="1" x14ac:dyDescent="0.35">
      <c r="A377" s="177" t="s">
        <v>214</v>
      </c>
    </row>
    <row r="378" spans="1:1" ht="25" customHeight="1" x14ac:dyDescent="0.35">
      <c r="A378" s="177" t="s">
        <v>215</v>
      </c>
    </row>
    <row r="379" spans="1:1" ht="25" customHeight="1" x14ac:dyDescent="0.35">
      <c r="A379" s="177" t="s">
        <v>216</v>
      </c>
    </row>
    <row r="380" spans="1:1" ht="25" customHeight="1" x14ac:dyDescent="0.35">
      <c r="A380" s="177" t="s">
        <v>217</v>
      </c>
    </row>
    <row r="381" spans="1:1" ht="25" customHeight="1" x14ac:dyDescent="0.35">
      <c r="A381" s="177" t="s">
        <v>218</v>
      </c>
    </row>
    <row r="382" spans="1:1" ht="25" customHeight="1" x14ac:dyDescent="0.35">
      <c r="A382" s="177" t="s">
        <v>211</v>
      </c>
    </row>
    <row r="383" spans="1:1" ht="25" customHeight="1" x14ac:dyDescent="0.35">
      <c r="A383" s="177" t="s">
        <v>219</v>
      </c>
    </row>
    <row r="384" spans="1:1" ht="25" customHeight="1" x14ac:dyDescent="0.35">
      <c r="A384" s="177" t="s">
        <v>220</v>
      </c>
    </row>
    <row r="385" spans="1:1" ht="25" customHeight="1" x14ac:dyDescent="0.35">
      <c r="A385" s="177" t="s">
        <v>221</v>
      </c>
    </row>
    <row r="386" spans="1:1" ht="25" customHeight="1" x14ac:dyDescent="0.35">
      <c r="A386" s="177" t="s">
        <v>212</v>
      </c>
    </row>
    <row r="387" spans="1:1" ht="25" customHeight="1" x14ac:dyDescent="0.35">
      <c r="A387" s="177" t="s">
        <v>222</v>
      </c>
    </row>
    <row r="388" spans="1:1" ht="25" customHeight="1" x14ac:dyDescent="0.35">
      <c r="A388" s="177" t="s">
        <v>223</v>
      </c>
    </row>
    <row r="389" spans="1:1" ht="25" customHeight="1" x14ac:dyDescent="0.35">
      <c r="A389" s="177" t="s">
        <v>221</v>
      </c>
    </row>
    <row r="392" spans="1:1" ht="25" customHeight="1" x14ac:dyDescent="0.35">
      <c r="A392" s="177" t="s">
        <v>210</v>
      </c>
    </row>
    <row r="393" spans="1:1" ht="25" customHeight="1" x14ac:dyDescent="0.35">
      <c r="A393" s="177" t="s">
        <v>31</v>
      </c>
    </row>
    <row r="394" spans="1:1" ht="25" customHeight="1" x14ac:dyDescent="0.35">
      <c r="A394" s="177" t="s">
        <v>224</v>
      </c>
    </row>
    <row r="395" spans="1:1" ht="25" customHeight="1" x14ac:dyDescent="0.35">
      <c r="A395" s="177" t="s">
        <v>225</v>
      </c>
    </row>
    <row r="397" spans="1:1" ht="25" customHeight="1" x14ac:dyDescent="0.35">
      <c r="A397" s="177" t="s">
        <v>211</v>
      </c>
    </row>
    <row r="398" spans="1:1" ht="25" customHeight="1" x14ac:dyDescent="0.35">
      <c r="A398" s="177" t="s">
        <v>31</v>
      </c>
    </row>
    <row r="399" spans="1:1" ht="25" customHeight="1" x14ac:dyDescent="0.35">
      <c r="A399" s="177" t="s">
        <v>224</v>
      </c>
    </row>
    <row r="400" spans="1:1" ht="25" customHeight="1" x14ac:dyDescent="0.35">
      <c r="A400" s="177" t="s">
        <v>225</v>
      </c>
    </row>
    <row r="402" spans="1:1" ht="25" customHeight="1" x14ac:dyDescent="0.35">
      <c r="A402" s="177" t="s">
        <v>212</v>
      </c>
    </row>
    <row r="403" spans="1:1" ht="25" customHeight="1" x14ac:dyDescent="0.35">
      <c r="A403" s="177" t="s">
        <v>31</v>
      </c>
    </row>
    <row r="404" spans="1:1" ht="25" customHeight="1" x14ac:dyDescent="0.35">
      <c r="A404" s="177" t="s">
        <v>224</v>
      </c>
    </row>
    <row r="405" spans="1:1" ht="25" customHeight="1" x14ac:dyDescent="0.35">
      <c r="A405" s="177" t="s">
        <v>225</v>
      </c>
    </row>
    <row r="407" spans="1:1" ht="25" customHeight="1" x14ac:dyDescent="0.35">
      <c r="A407" s="177" t="s">
        <v>226</v>
      </c>
    </row>
    <row r="408" spans="1:1" ht="25" customHeight="1" x14ac:dyDescent="0.35">
      <c r="A408" s="177" t="s">
        <v>31</v>
      </c>
    </row>
    <row r="409" spans="1:1" ht="25" customHeight="1" x14ac:dyDescent="0.35">
      <c r="A409" s="177" t="s">
        <v>224</v>
      </c>
    </row>
    <row r="410" spans="1:1" ht="25" customHeight="1" x14ac:dyDescent="0.35">
      <c r="A410" s="177" t="s">
        <v>225</v>
      </c>
    </row>
    <row r="412" spans="1:1" ht="25" customHeight="1" x14ac:dyDescent="0.35">
      <c r="A412" s="177" t="s">
        <v>214</v>
      </c>
    </row>
    <row r="413" spans="1:1" ht="25" customHeight="1" x14ac:dyDescent="0.35">
      <c r="A413" s="177" t="s">
        <v>31</v>
      </c>
    </row>
    <row r="414" spans="1:1" ht="25" customHeight="1" x14ac:dyDescent="0.35">
      <c r="A414" s="177" t="s">
        <v>224</v>
      </c>
    </row>
    <row r="415" spans="1:1" ht="25" customHeight="1" x14ac:dyDescent="0.35">
      <c r="A415" s="177" t="s">
        <v>225</v>
      </c>
    </row>
    <row r="417" spans="1:1" ht="25" customHeight="1" x14ac:dyDescent="0.35">
      <c r="A417" s="177" t="s">
        <v>227</v>
      </c>
    </row>
    <row r="418" spans="1:1" ht="25" customHeight="1" x14ac:dyDescent="0.35">
      <c r="A418" s="177" t="s">
        <v>31</v>
      </c>
    </row>
    <row r="419" spans="1:1" ht="25" customHeight="1" x14ac:dyDescent="0.35">
      <c r="A419" s="177" t="s">
        <v>224</v>
      </c>
    </row>
    <row r="420" spans="1:1" ht="25" customHeight="1" x14ac:dyDescent="0.35">
      <c r="A420" s="177" t="s">
        <v>225</v>
      </c>
    </row>
    <row r="422" spans="1:1" ht="25" customHeight="1" x14ac:dyDescent="0.35">
      <c r="A422" s="177" t="s">
        <v>228</v>
      </c>
    </row>
    <row r="424" spans="1:1" ht="25" customHeight="1" x14ac:dyDescent="0.35">
      <c r="A424" s="177" t="s">
        <v>229</v>
      </c>
    </row>
    <row r="425" spans="1:1" ht="25" customHeight="1" x14ac:dyDescent="0.35">
      <c r="A425" s="177" t="s">
        <v>230</v>
      </c>
    </row>
    <row r="426" spans="1:1" ht="25" customHeight="1" x14ac:dyDescent="0.35">
      <c r="A426" s="177" t="s">
        <v>198</v>
      </c>
    </row>
    <row r="427" spans="1:1" ht="25" customHeight="1" x14ac:dyDescent="0.35">
      <c r="A427" s="177" t="s">
        <v>193</v>
      </c>
    </row>
    <row r="428" spans="1:1" ht="25" customHeight="1" x14ac:dyDescent="0.35">
      <c r="A428" s="177" t="s">
        <v>194</v>
      </c>
    </row>
    <row r="429" spans="1:1" ht="25" customHeight="1" x14ac:dyDescent="0.35">
      <c r="A429" s="177" t="s">
        <v>195</v>
      </c>
    </row>
    <row r="430" spans="1:1" ht="25" customHeight="1" x14ac:dyDescent="0.35">
      <c r="A430" s="177" t="s">
        <v>231</v>
      </c>
    </row>
    <row r="431" spans="1:1" ht="25" customHeight="1" x14ac:dyDescent="0.35">
      <c r="A431" s="177" t="s">
        <v>198</v>
      </c>
    </row>
    <row r="432" spans="1:1" ht="25" customHeight="1" x14ac:dyDescent="0.35">
      <c r="A432" s="177" t="s">
        <v>193</v>
      </c>
    </row>
    <row r="433" spans="1:25" ht="25" customHeight="1" x14ac:dyDescent="0.35">
      <c r="A433" s="177" t="s">
        <v>194</v>
      </c>
    </row>
    <row r="434" spans="1:25" ht="25" customHeight="1" x14ac:dyDescent="0.35">
      <c r="A434" s="177" t="s">
        <v>195</v>
      </c>
    </row>
    <row r="435" spans="1:25" ht="25" customHeight="1" x14ac:dyDescent="0.35">
      <c r="A435" s="177" t="s">
        <v>99</v>
      </c>
    </row>
    <row r="436" spans="1:25" ht="25" customHeight="1" x14ac:dyDescent="0.35">
      <c r="A436" s="177" t="s">
        <v>232</v>
      </c>
    </row>
    <row r="440" spans="1:25" ht="25" customHeight="1" x14ac:dyDescent="0.35">
      <c r="A440" s="268"/>
      <c r="B440" s="268"/>
      <c r="C440" s="268"/>
      <c r="D440" s="268"/>
      <c r="E440" s="268"/>
      <c r="F440" s="268"/>
      <c r="G440" s="268"/>
      <c r="H440" s="268">
        <v>2020</v>
      </c>
      <c r="I440" s="268">
        <v>2021</v>
      </c>
      <c r="J440" s="268">
        <v>2022</v>
      </c>
      <c r="K440" s="268" t="s">
        <v>50</v>
      </c>
      <c r="L440" s="268" t="s">
        <v>51</v>
      </c>
      <c r="M440" s="268" t="s">
        <v>52</v>
      </c>
      <c r="N440" s="268" t="s">
        <v>53</v>
      </c>
      <c r="O440" s="268" t="s">
        <v>54</v>
      </c>
      <c r="P440" s="268"/>
      <c r="Q440" s="268"/>
      <c r="R440" s="268"/>
      <c r="S440" s="268"/>
      <c r="T440" s="268"/>
      <c r="U440" s="268"/>
      <c r="V440" s="268"/>
      <c r="W440" s="268"/>
      <c r="X440" s="268"/>
      <c r="Y440" s="268"/>
    </row>
    <row r="441" spans="1:25" ht="25" customHeight="1" x14ac:dyDescent="0.35">
      <c r="A441" s="269" t="s">
        <v>233</v>
      </c>
      <c r="B441" s="269"/>
      <c r="C441" s="269"/>
      <c r="D441" s="269"/>
      <c r="E441" s="269"/>
      <c r="F441" s="269"/>
      <c r="G441" s="269"/>
      <c r="H441" s="270">
        <f>18.8%</f>
        <v>0.188</v>
      </c>
      <c r="I441" s="270">
        <f>K217/K3</f>
        <v>0.99997572632449694</v>
      </c>
      <c r="J441" s="270">
        <f>L217/L3</f>
        <v>0.99997475294336391</v>
      </c>
      <c r="K441" s="270" t="e">
        <f>M217/M3</f>
        <v>#DIV/0!</v>
      </c>
      <c r="L441" s="270" t="e">
        <f>N217/N3</f>
        <v>#DIV/0!</v>
      </c>
      <c r="M441" s="270" t="e">
        <f>O217/O3</f>
        <v>#DIV/0!</v>
      </c>
      <c r="N441" s="270" t="e">
        <f>Z89/Z3</f>
        <v>#DIV/0!</v>
      </c>
      <c r="O441" s="270" t="e">
        <f>AA89/AA3</f>
        <v>#DIV/0!</v>
      </c>
      <c r="P441" s="270"/>
      <c r="Q441" s="270"/>
      <c r="R441" s="270"/>
      <c r="S441" s="270"/>
      <c r="T441" s="270"/>
      <c r="U441" s="270"/>
      <c r="V441" s="270"/>
      <c r="W441" s="270"/>
      <c r="X441" s="270"/>
      <c r="Y441" s="270"/>
    </row>
    <row r="442" spans="1:25" ht="25" customHeight="1" x14ac:dyDescent="0.35">
      <c r="A442" s="269" t="s">
        <v>162</v>
      </c>
      <c r="B442" s="269"/>
      <c r="C442" s="269"/>
      <c r="D442" s="269"/>
      <c r="E442" s="269"/>
      <c r="F442" s="269"/>
      <c r="G442" s="269"/>
      <c r="H442" s="271">
        <f>[1]CAPEX!D29</f>
        <v>-1068</v>
      </c>
      <c r="I442" s="271">
        <f>[1]CAPEX!E29</f>
        <v>-1142</v>
      </c>
      <c r="J442" s="271">
        <f>[1]CAPEX!F29</f>
        <v>-2673</v>
      </c>
      <c r="K442" s="271">
        <f>[1]CAPEX!G29</f>
        <v>-3186</v>
      </c>
      <c r="L442" s="271">
        <f>[1]CAPEX!H29</f>
        <v>-2158</v>
      </c>
      <c r="M442" s="271">
        <f>[1]CAPEX!I29</f>
        <v>-1265</v>
      </c>
      <c r="N442" s="271">
        <f>[1]CAPEX!J29</f>
        <v>-1531</v>
      </c>
      <c r="O442" s="271">
        <f>[1]CAPEX!K29</f>
        <v>-1457</v>
      </c>
      <c r="P442" s="271"/>
      <c r="Q442" s="271"/>
      <c r="R442" s="271"/>
      <c r="S442" s="271"/>
      <c r="T442" s="271"/>
      <c r="U442" s="271"/>
      <c r="V442" s="271"/>
      <c r="W442" s="271"/>
      <c r="X442" s="271"/>
      <c r="Y442" s="271"/>
    </row>
    <row r="443" spans="1:25" ht="25" customHeight="1" x14ac:dyDescent="0.35">
      <c r="A443" s="269" t="s">
        <v>164</v>
      </c>
      <c r="B443" s="269"/>
      <c r="C443" s="269"/>
      <c r="D443" s="269"/>
      <c r="E443" s="269"/>
      <c r="F443" s="269"/>
      <c r="G443" s="269"/>
      <c r="H443" s="271">
        <f>[1]CAPEX!I29</f>
        <v>-1265</v>
      </c>
      <c r="I443" s="271">
        <f>[1]CAPEX!J29</f>
        <v>-1531</v>
      </c>
      <c r="J443" s="271">
        <f>[1]CAPEX!K29</f>
        <v>-1457</v>
      </c>
      <c r="K443" s="271">
        <f>[1]CAPEX!L29</f>
        <v>-1932.7551020408162</v>
      </c>
      <c r="L443" s="271">
        <f>[1]CAPEX!M29</f>
        <v>-2200.3673469387754</v>
      </c>
      <c r="M443" s="271">
        <f>[1]CAPEX!N29</f>
        <v>-2319.3061224489793</v>
      </c>
      <c r="N443" s="271">
        <f>[1]CAPEX!O29</f>
        <v>-2557.1836734693875</v>
      </c>
      <c r="O443" s="271">
        <f>[1]CAPEX!P29</f>
        <v>-2557.1836734693875</v>
      </c>
      <c r="P443" s="271"/>
      <c r="Q443" s="271"/>
      <c r="R443" s="271"/>
      <c r="S443" s="271"/>
      <c r="T443" s="271"/>
      <c r="U443" s="271"/>
      <c r="V443" s="271"/>
      <c r="W443" s="271"/>
      <c r="X443" s="271"/>
      <c r="Y443" s="271"/>
    </row>
  </sheetData>
  <mergeCells count="26">
    <mergeCell ref="A121:O121"/>
    <mergeCell ref="A133:O133"/>
    <mergeCell ref="AD68:AE71"/>
    <mergeCell ref="A73:O73"/>
    <mergeCell ref="A83:O83"/>
    <mergeCell ref="A93:O93"/>
    <mergeCell ref="A101:O101"/>
    <mergeCell ref="A109:O109"/>
    <mergeCell ref="AD65:AE67"/>
    <mergeCell ref="A16:O16"/>
    <mergeCell ref="AA17:AB22"/>
    <mergeCell ref="A28:O28"/>
    <mergeCell ref="A40:O40"/>
    <mergeCell ref="A52:H52"/>
    <mergeCell ref="AD52:AE52"/>
    <mergeCell ref="A53:O53"/>
    <mergeCell ref="AD53:AE58"/>
    <mergeCell ref="AA54:AB59"/>
    <mergeCell ref="AA61:AC64"/>
    <mergeCell ref="A63:O63"/>
    <mergeCell ref="B1:G1"/>
    <mergeCell ref="I1:O1"/>
    <mergeCell ref="A3:H3"/>
    <mergeCell ref="A4:O4"/>
    <mergeCell ref="AE4:AE5"/>
    <mergeCell ref="AA5:AB10"/>
  </mergeCells>
  <hyperlinks>
    <hyperlink ref="AB67" r:id="rId1" xr:uid="{AFAD0EED-414D-4F58-90DF-D19453571950}"/>
    <hyperlink ref="AB68" r:id="rId2" xr:uid="{4ED745FE-1DAD-445D-AB85-FD60A91EF269}"/>
    <hyperlink ref="AB69" r:id="rId3" xr:uid="{21AC6AD6-E1B7-4D92-9DCF-032C4B4A10C4}"/>
  </hyperlinks>
  <pageMargins left="0.7" right="0.7" top="0.75" bottom="0.75" header="0.3" footer="0.3"/>
  <pageSetup orientation="portrait" horizontalDpi="1200" verticalDpi="1200" r:id="rId4"/>
  <drawing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A4991-9845-4ACA-B8E0-21C1CAFAF8D5}">
  <dimension ref="A1:AM317"/>
  <sheetViews>
    <sheetView topLeftCell="A40" zoomScale="55" zoomScaleNormal="55" workbookViewId="0">
      <selection activeCell="B16" sqref="B16"/>
    </sheetView>
  </sheetViews>
  <sheetFormatPr defaultColWidth="8.7265625" defaultRowHeight="25" customHeight="1" x14ac:dyDescent="0.35"/>
  <cols>
    <col min="1" max="1" width="36.453125" style="177" customWidth="1"/>
    <col min="2" max="5" width="24.26953125" style="177" customWidth="1"/>
    <col min="6" max="6" width="24.26953125" style="233" customWidth="1"/>
    <col min="7" max="11" width="23" style="177" customWidth="1"/>
    <col min="12" max="12" width="17.1796875" style="106" customWidth="1"/>
    <col min="13" max="13" width="23.1796875" style="138" customWidth="1"/>
    <col min="14" max="14" width="62" style="138" customWidth="1"/>
    <col min="15" max="15" width="18.54296875" style="138" bestFit="1" customWidth="1"/>
    <col min="16" max="19" width="11.453125" style="138" bestFit="1" customWidth="1"/>
    <col min="20" max="20" width="8.7265625" style="138" bestFit="1"/>
    <col min="21" max="21" width="22.1796875" style="138" bestFit="1" customWidth="1"/>
    <col min="22" max="23" width="21" style="138" bestFit="1" customWidth="1"/>
    <col min="24" max="24" width="21.7265625" style="138" bestFit="1" customWidth="1"/>
    <col min="25" max="25" width="22.81640625" style="138" bestFit="1" customWidth="1"/>
    <col min="26" max="26" width="21" style="138" bestFit="1" customWidth="1"/>
    <col min="27" max="28" width="15.81640625" style="138" bestFit="1" customWidth="1"/>
    <col min="29" max="30" width="15.453125" style="138" bestFit="1" customWidth="1"/>
    <col min="31" max="16384" width="8.7265625" style="138"/>
  </cols>
  <sheetData>
    <row r="1" spans="1:39" s="107" customFormat="1" ht="25" customHeight="1" x14ac:dyDescent="0.35">
      <c r="A1" s="105" t="s">
        <v>308</v>
      </c>
      <c r="B1" s="431" t="s">
        <v>23</v>
      </c>
      <c r="C1" s="431"/>
      <c r="D1" s="431"/>
      <c r="E1" s="431"/>
      <c r="F1" s="431"/>
      <c r="G1" s="431" t="s">
        <v>24</v>
      </c>
      <c r="H1" s="431"/>
      <c r="I1" s="431"/>
      <c r="J1" s="431"/>
      <c r="K1" s="431"/>
      <c r="L1" s="106"/>
      <c r="M1" s="107">
        <f>_xlfn.RRI(4,B3,F3)</f>
        <v>3.345302979565079E-2</v>
      </c>
      <c r="O1" s="108">
        <f>O3/O2</f>
        <v>2.4273205236868114E-2</v>
      </c>
      <c r="P1" s="108">
        <f t="shared" ref="P1:S1" si="0">P3/P2</f>
        <v>9.7205902973719491E-2</v>
      </c>
      <c r="Q1" s="108">
        <f t="shared" si="0"/>
        <v>0.12549270757739675</v>
      </c>
      <c r="R1" s="108">
        <f t="shared" si="0"/>
        <v>0.15525475439461456</v>
      </c>
      <c r="S1" s="108">
        <f t="shared" si="0"/>
        <v>8.2279316115299872E-2</v>
      </c>
      <c r="U1" s="109">
        <f>$U$2*[1]FCFE!G3</f>
        <v>5865.2682173533403</v>
      </c>
      <c r="V1" s="109">
        <f>$U$2*[1]FCFE!H3</f>
        <v>5932.622348501417</v>
      </c>
      <c r="W1" s="109">
        <f>$U$2*[1]FCFE!I3</f>
        <v>6008.2019977690352</v>
      </c>
      <c r="X1" s="109">
        <f>$U$2*[1]FCFE!J3</f>
        <v>6092.1157178527865</v>
      </c>
      <c r="Y1" s="109">
        <f>$U$2*[1]FCFE!K3</f>
        <v>6184.5243222377057</v>
      </c>
    </row>
    <row r="2" spans="1:39" s="111" customFormat="1" ht="25" customHeight="1" thickBot="1" x14ac:dyDescent="0.4">
      <c r="A2" s="110" t="s">
        <v>25</v>
      </c>
      <c r="B2" s="110">
        <v>2018</v>
      </c>
      <c r="C2" s="110">
        <v>2019</v>
      </c>
      <c r="D2" s="110">
        <v>2020</v>
      </c>
      <c r="E2" s="110">
        <v>2021</v>
      </c>
      <c r="F2" s="110">
        <v>2022</v>
      </c>
      <c r="G2" s="110" t="s">
        <v>50</v>
      </c>
      <c r="H2" s="110" t="s">
        <v>51</v>
      </c>
      <c r="I2" s="110" t="s">
        <v>52</v>
      </c>
      <c r="J2" s="110" t="s">
        <v>53</v>
      </c>
      <c r="K2" s="110" t="s">
        <v>54</v>
      </c>
      <c r="L2" s="106"/>
      <c r="M2" s="107"/>
      <c r="O2" s="112">
        <f>'[1]BS IS'!J26</f>
        <v>52561950</v>
      </c>
      <c r="P2" s="112">
        <f>'[1]BS IS'!K26</f>
        <v>56318123</v>
      </c>
      <c r="Q2" s="112">
        <f>'[1]BS IS'!L26</f>
        <v>59636286</v>
      </c>
      <c r="R2" s="112">
        <f>'[1]BS IS'!M26</f>
        <v>60919165</v>
      </c>
      <c r="S2" s="112">
        <f>'[1]BS IS'!N26</f>
        <v>59956247</v>
      </c>
      <c r="U2" s="113">
        <f>AVERAGE(O1:S1)</f>
        <v>9.6901177259579752E-2</v>
      </c>
    </row>
    <row r="3" spans="1:39" s="107" customFormat="1" ht="77.5" customHeight="1" x14ac:dyDescent="0.35">
      <c r="A3" s="114" t="s">
        <v>26</v>
      </c>
      <c r="B3" s="114">
        <f t="shared" ref="B3:K3" si="1">SUM(B5,B12,B18,B25,B31,B34)</f>
        <v>52561.95</v>
      </c>
      <c r="C3" s="114">
        <f t="shared" si="1"/>
        <v>56318.123</v>
      </c>
      <c r="D3" s="114">
        <f t="shared" si="1"/>
        <v>59636.286</v>
      </c>
      <c r="E3" s="114">
        <f t="shared" si="1"/>
        <v>60919.165000000001</v>
      </c>
      <c r="F3" s="114">
        <f t="shared" si="1"/>
        <v>59956.247000000003</v>
      </c>
      <c r="G3" s="114">
        <f t="shared" si="1"/>
        <v>60528.348398094349</v>
      </c>
      <c r="H3" s="114">
        <f t="shared" si="1"/>
        <v>61223.42902614129</v>
      </c>
      <c r="I3" s="114">
        <f t="shared" si="1"/>
        <v>62003.395290794142</v>
      </c>
      <c r="J3" s="114">
        <f t="shared" si="1"/>
        <v>62869.367433309628</v>
      </c>
      <c r="K3" s="114">
        <f t="shared" si="1"/>
        <v>63823.005015414266</v>
      </c>
      <c r="L3" s="106"/>
      <c r="N3" s="115" t="s">
        <v>27</v>
      </c>
      <c r="O3" s="116">
        <v>1275847</v>
      </c>
      <c r="P3" s="116">
        <v>5474454</v>
      </c>
      <c r="Q3" s="116">
        <v>7483919</v>
      </c>
      <c r="R3" s="116">
        <v>9457990</v>
      </c>
      <c r="S3" s="116">
        <v>4933159</v>
      </c>
      <c r="U3" s="117">
        <f>P1/O1-1</f>
        <v>3.0046587183333857</v>
      </c>
      <c r="V3" s="117">
        <f t="shared" ref="V3:Y3" si="2">Q1/P1-1</f>
        <v>0.29099883585593411</v>
      </c>
      <c r="W3" s="117">
        <f t="shared" si="2"/>
        <v>0.23716156413999023</v>
      </c>
      <c r="X3" s="117">
        <f t="shared" si="2"/>
        <v>-0.47003673777249577</v>
      </c>
      <c r="Y3" s="117">
        <f t="shared" si="2"/>
        <v>-1</v>
      </c>
      <c r="Z3" s="117">
        <f>AVERAGE(U3:Y3)</f>
        <v>0.41255647611136281</v>
      </c>
    </row>
    <row r="4" spans="1:39" s="140" customFormat="1" ht="25" customHeight="1" x14ac:dyDescent="0.35">
      <c r="A4" s="429" t="str">
        <f>'[1]revenue breakdown'!T17</f>
        <v>Drinking Milk Products</v>
      </c>
      <c r="B4" s="429"/>
      <c r="C4" s="429"/>
      <c r="D4" s="429"/>
      <c r="E4" s="429"/>
      <c r="F4" s="429"/>
      <c r="G4" s="429"/>
      <c r="H4" s="429"/>
      <c r="I4" s="429"/>
      <c r="J4" s="429"/>
      <c r="K4" s="429"/>
      <c r="L4" s="106"/>
      <c r="M4" s="107"/>
      <c r="N4" s="118" t="s">
        <v>28</v>
      </c>
      <c r="O4" s="380" t="s">
        <v>29</v>
      </c>
      <c r="P4" s="15">
        <v>2018</v>
      </c>
      <c r="Q4" s="15">
        <v>2019</v>
      </c>
      <c r="R4" s="15">
        <v>2020</v>
      </c>
      <c r="S4" s="15">
        <v>2021</v>
      </c>
      <c r="T4" s="15">
        <v>2022</v>
      </c>
      <c r="U4" s="111"/>
      <c r="V4" s="111"/>
      <c r="W4" s="111"/>
      <c r="X4" s="111"/>
      <c r="Y4" s="111"/>
      <c r="Z4" s="111"/>
      <c r="AA4" s="111"/>
      <c r="AB4" s="111"/>
      <c r="AC4" s="111"/>
      <c r="AD4" s="111"/>
      <c r="AE4" s="111"/>
      <c r="AF4" s="111"/>
      <c r="AG4" s="111"/>
      <c r="AH4" s="111"/>
      <c r="AI4" s="111"/>
      <c r="AJ4" s="111"/>
      <c r="AK4" s="111"/>
      <c r="AL4" s="111"/>
      <c r="AM4" s="111"/>
    </row>
    <row r="5" spans="1:39" ht="25" customHeight="1" x14ac:dyDescent="0.35">
      <c r="A5" s="120" t="s">
        <v>46</v>
      </c>
      <c r="B5" s="121">
        <f>'[1]revenue breakdown'!M18</f>
        <v>22610.49491097089</v>
      </c>
      <c r="C5" s="121">
        <f>'[1]revenue breakdown'!N18</f>
        <v>25078.761399893556</v>
      </c>
      <c r="D5" s="121">
        <f>'[1]revenue breakdown'!O18</f>
        <v>26708.310166984938</v>
      </c>
      <c r="E5" s="121">
        <f>'[1]revenue breakdown'!P18</f>
        <v>27015.499627043584</v>
      </c>
      <c r="F5" s="121">
        <f>'[1]revenue breakdown'!Q18</f>
        <v>25975.339980175617</v>
      </c>
      <c r="G5" s="121">
        <f>F5*(1+G6)</f>
        <v>26156.937299408415</v>
      </c>
      <c r="H5" s="121">
        <f>G5*(1+H6)</f>
        <v>26338.664264853298</v>
      </c>
      <c r="I5" s="121">
        <f>H5*(1+I6)</f>
        <v>26520.500206299643</v>
      </c>
      <c r="J5" s="121">
        <f>I5*(1+J6)</f>
        <v>26702.424147083308</v>
      </c>
      <c r="K5" s="121">
        <f>J5*(1+K6)</f>
        <v>26884.414804548302</v>
      </c>
      <c r="M5" s="107"/>
      <c r="N5" s="122">
        <f>AVERAGE(C8:F8)</f>
        <v>4.9981968518622577E-3</v>
      </c>
      <c r="O5" s="380"/>
      <c r="P5" s="123">
        <f>P6/100</f>
        <v>0.10800000000000001</v>
      </c>
      <c r="Q5" s="123">
        <f>Q6/100</f>
        <v>0.11699999999999999</v>
      </c>
      <c r="R5" s="123">
        <f>R6/100</f>
        <v>8.199999999999999E-2</v>
      </c>
      <c r="S5" s="123">
        <f>S6/100</f>
        <v>5.5999999999999994E-2</v>
      </c>
      <c r="T5" s="123">
        <f>T6/100</f>
        <v>3.6000000000000004E-2</v>
      </c>
      <c r="U5" s="107"/>
      <c r="V5" s="107"/>
      <c r="W5" s="107"/>
      <c r="X5" s="107"/>
      <c r="Y5" s="107"/>
      <c r="Z5" s="107"/>
      <c r="AA5" s="107"/>
      <c r="AB5" s="107"/>
      <c r="AC5" s="107"/>
      <c r="AD5" s="107"/>
      <c r="AE5" s="107"/>
      <c r="AF5" s="107"/>
      <c r="AG5" s="107"/>
      <c r="AH5" s="107"/>
      <c r="AI5" s="107"/>
      <c r="AJ5" s="107"/>
      <c r="AK5" s="107"/>
      <c r="AL5" s="107"/>
      <c r="AM5" s="107"/>
    </row>
    <row r="6" spans="1:39" ht="25" customHeight="1" x14ac:dyDescent="0.35">
      <c r="A6" s="124" t="s">
        <v>31</v>
      </c>
      <c r="B6" s="125"/>
      <c r="C6" s="126">
        <f>C5/B5-1</f>
        <v>0.10916463786580066</v>
      </c>
      <c r="D6" s="126">
        <f>D5/C5-1</f>
        <v>6.4977242739679308E-2</v>
      </c>
      <c r="E6" s="126">
        <f>E5/D5-1</f>
        <v>1.1501643426261143E-2</v>
      </c>
      <c r="F6" s="126">
        <f>F5/E5-1</f>
        <v>-3.8502328708617584E-2</v>
      </c>
      <c r="G6" s="127">
        <f>((1+G8)*(1+G9)-1)*$B$7</f>
        <v>6.9911431138684407E-3</v>
      </c>
      <c r="H6" s="127">
        <f t="shared" ref="H6:J6" si="3">((1+H8)*(1+H9)-1)*$B$7</f>
        <v>6.947562834468274E-3</v>
      </c>
      <c r="I6" s="127">
        <f t="shared" si="3"/>
        <v>6.9037647322528657E-3</v>
      </c>
      <c r="J6" s="127">
        <f t="shared" si="3"/>
        <v>6.8597477185008294E-3</v>
      </c>
      <c r="K6" s="127">
        <f>((1+K8)*(1+K9)-1)*$B$7</f>
        <v>6.8155106990491583E-3</v>
      </c>
      <c r="M6" s="107"/>
      <c r="N6" s="108">
        <f>_xlfn.RRI(4,B5,F5)</f>
        <v>3.5291844820126261E-2</v>
      </c>
      <c r="O6" s="106">
        <f>AVERAGE(P5:T5)</f>
        <v>7.980000000000001E-2</v>
      </c>
      <c r="P6" s="128">
        <v>10.8</v>
      </c>
      <c r="Q6" s="128">
        <v>11.7</v>
      </c>
      <c r="R6" s="128">
        <v>8.1999999999999993</v>
      </c>
      <c r="S6" s="128">
        <v>5.6</v>
      </c>
      <c r="T6" s="128">
        <v>3.6</v>
      </c>
      <c r="U6" s="129">
        <f>U1-S3/1000</f>
        <v>932.10921735334068</v>
      </c>
      <c r="V6" s="129">
        <f>V1-U1</f>
        <v>67.354131148076704</v>
      </c>
      <c r="W6" s="129">
        <f t="shared" ref="W6:Y6" si="4">W1-V1</f>
        <v>75.579649267618151</v>
      </c>
      <c r="X6" s="129">
        <f t="shared" si="4"/>
        <v>83.913720083751286</v>
      </c>
      <c r="Y6" s="129">
        <f t="shared" si="4"/>
        <v>92.408604384919272</v>
      </c>
      <c r="Z6" s="107"/>
      <c r="AA6" s="107"/>
      <c r="AB6" s="107"/>
      <c r="AC6" s="107"/>
      <c r="AD6" s="107"/>
      <c r="AE6" s="107"/>
      <c r="AF6" s="107"/>
      <c r="AG6" s="107"/>
      <c r="AH6" s="107"/>
      <c r="AI6" s="107"/>
      <c r="AJ6" s="107"/>
      <c r="AK6" s="107"/>
      <c r="AL6" s="107"/>
      <c r="AM6" s="107"/>
    </row>
    <row r="7" spans="1:39" ht="25" customHeight="1" x14ac:dyDescent="0.35">
      <c r="A7" s="124"/>
      <c r="B7" s="130">
        <f>AVERAGE(C7:F7)</f>
        <v>0.21516331212968914</v>
      </c>
      <c r="C7" s="130">
        <f>C6/C9</f>
        <v>0.93132127940017928</v>
      </c>
      <c r="D7" s="130">
        <f t="shared" ref="D7:F7" si="5">D6/D9</f>
        <v>0.78895441298565949</v>
      </c>
      <c r="E7" s="130">
        <f t="shared" si="5"/>
        <v>0.20428940660387965</v>
      </c>
      <c r="F7" s="130">
        <f t="shared" si="5"/>
        <v>-1.0639118504709619</v>
      </c>
      <c r="G7" s="127"/>
      <c r="H7" s="127"/>
      <c r="I7" s="127"/>
      <c r="J7" s="127"/>
      <c r="K7" s="127"/>
      <c r="M7" s="107"/>
      <c r="N7" s="107" t="s">
        <v>35</v>
      </c>
      <c r="O7" s="107" t="s">
        <v>36</v>
      </c>
      <c r="P7" s="107"/>
      <c r="Q7" s="107"/>
      <c r="R7" s="107"/>
      <c r="S7" s="107"/>
      <c r="T7" s="107"/>
      <c r="U7" s="107"/>
      <c r="V7" s="107"/>
      <c r="W7" s="107"/>
      <c r="X7" s="107"/>
      <c r="Y7" s="107"/>
      <c r="Z7" s="107"/>
      <c r="AA7" s="107"/>
      <c r="AB7" s="107"/>
      <c r="AC7" s="107"/>
      <c r="AD7" s="107"/>
      <c r="AE7" s="107"/>
      <c r="AF7" s="107"/>
      <c r="AG7" s="107"/>
      <c r="AH7" s="107"/>
      <c r="AI7" s="107"/>
      <c r="AJ7" s="107"/>
      <c r="AK7" s="107"/>
      <c r="AL7" s="107"/>
      <c r="AM7" s="107"/>
    </row>
    <row r="8" spans="1:39" ht="25" customHeight="1" x14ac:dyDescent="0.35">
      <c r="A8" s="124" t="s">
        <v>105</v>
      </c>
      <c r="B8" s="124"/>
      <c r="C8" s="126">
        <f>'[1]drinking milk'!C33/'[1]drinking milk'!B33-1</f>
        <v>5.9602649006622599E-2</v>
      </c>
      <c r="D8" s="126">
        <f>'[1]drinking milk'!D33/'[1]drinking milk'!C33-1</f>
        <v>6.2499999999998668E-3</v>
      </c>
      <c r="E8" s="126">
        <f>'[1]drinking milk'!E33/'[1]drinking milk'!D33-1</f>
        <v>-8.2815734989647449E-3</v>
      </c>
      <c r="F8" s="126">
        <f>'[1]drinking milk'!F33/'[1]drinking milk'!E33-1</f>
        <v>-3.757828810020869E-2</v>
      </c>
      <c r="G8" s="127">
        <f>F8*(1+$N$5)</f>
        <v>-3.7766111781489524E-2</v>
      </c>
      <c r="H8" s="127">
        <f>G8*(1+$N$5)</f>
        <v>-3.7954874242502844E-2</v>
      </c>
      <c r="I8" s="127">
        <f>H8*(1+$N$5)</f>
        <v>-3.8144580175454544E-2</v>
      </c>
      <c r="J8" s="127">
        <f>I8*(1+$N$5)</f>
        <v>-3.8335234296003107E-2</v>
      </c>
      <c r="K8" s="127">
        <f>J8*(1+$N$5)</f>
        <v>-3.8526841343376791E-2</v>
      </c>
      <c r="M8" s="107"/>
      <c r="N8" s="107" t="s">
        <v>38</v>
      </c>
      <c r="O8" s="119" t="s">
        <v>39</v>
      </c>
      <c r="P8" s="15">
        <v>2018</v>
      </c>
      <c r="Q8" s="15">
        <v>2019</v>
      </c>
      <c r="R8" s="15">
        <v>2020</v>
      </c>
      <c r="S8" s="15">
        <v>2021</v>
      </c>
      <c r="T8" s="15">
        <v>2022</v>
      </c>
      <c r="U8" s="107"/>
      <c r="V8" s="107"/>
      <c r="W8" s="107"/>
      <c r="X8" s="107"/>
      <c r="Y8" s="107"/>
      <c r="Z8" s="107"/>
      <c r="AA8" s="107"/>
      <c r="AB8" s="107"/>
      <c r="AC8" s="107"/>
      <c r="AD8" s="107"/>
      <c r="AE8" s="107"/>
      <c r="AF8" s="107"/>
      <c r="AG8" s="107"/>
      <c r="AH8" s="107"/>
      <c r="AI8" s="107"/>
      <c r="AJ8" s="107"/>
      <c r="AK8" s="107"/>
      <c r="AL8" s="107"/>
      <c r="AM8" s="107"/>
    </row>
    <row r="9" spans="1:39" ht="25" customHeight="1" x14ac:dyDescent="0.35">
      <c r="A9" s="124" t="s">
        <v>37</v>
      </c>
      <c r="B9" s="127"/>
      <c r="C9" s="127">
        <f>'[1]drinking milk'!G26/'[1]drinking milk'!F26-1</f>
        <v>0.11721480039209298</v>
      </c>
      <c r="D9" s="127">
        <f>'[1]drinking milk'!H26/'[1]drinking milk'!G26-1</f>
        <v>8.2358678359861548E-2</v>
      </c>
      <c r="E9" s="127">
        <f>'[1]drinking milk'!I26/'[1]drinking milk'!H26-1</f>
        <v>5.6300733442155471E-2</v>
      </c>
      <c r="F9" s="127">
        <f>'[1]drinking milk'!J26/'[1]drinking milk'!I26-1</f>
        <v>3.6189397356156672E-2</v>
      </c>
      <c r="G9" s="127">
        <f>AVERAGE($C$9:$F$9)</f>
        <v>7.3015902387566667E-2</v>
      </c>
      <c r="H9" s="127">
        <f>AVERAGE($C$9:$F$9)</f>
        <v>7.3015902387566667E-2</v>
      </c>
      <c r="I9" s="127">
        <f>AVERAGE($C$9:$F$9)</f>
        <v>7.3015902387566667E-2</v>
      </c>
      <c r="J9" s="127">
        <f>AVERAGE($C$9:$F$9)</f>
        <v>7.3015902387566667E-2</v>
      </c>
      <c r="K9" s="127">
        <f>AVERAGE($C$9:$F$9)</f>
        <v>7.3015902387566667E-2</v>
      </c>
      <c r="M9" s="107"/>
      <c r="N9" s="107"/>
      <c r="O9" s="106" t="e">
        <f>AVERAGE(#REF!)</f>
        <v>#REF!</v>
      </c>
      <c r="P9" s="107"/>
      <c r="Q9" s="107"/>
      <c r="R9" s="107"/>
      <c r="S9" s="107"/>
      <c r="T9" s="107"/>
      <c r="U9" s="107"/>
      <c r="V9" s="107"/>
      <c r="W9" s="107"/>
      <c r="X9" s="107"/>
      <c r="Y9" s="107"/>
      <c r="Z9" s="107"/>
      <c r="AA9" s="107"/>
      <c r="AB9" s="107"/>
      <c r="AC9" s="107"/>
      <c r="AD9" s="107"/>
      <c r="AE9" s="107"/>
      <c r="AF9" s="107"/>
      <c r="AG9" s="107"/>
      <c r="AH9" s="107"/>
      <c r="AI9" s="107"/>
      <c r="AJ9" s="107"/>
      <c r="AK9" s="107"/>
      <c r="AL9" s="107"/>
      <c r="AM9" s="107"/>
    </row>
    <row r="10" spans="1:39" s="140" customFormat="1" ht="25" customHeight="1" x14ac:dyDescent="0.35">
      <c r="A10" s="124" t="s">
        <v>106</v>
      </c>
      <c r="B10" s="126">
        <f t="shared" ref="B10:K10" si="6">B5/B3</f>
        <v>0.43016849471853486</v>
      </c>
      <c r="C10" s="126">
        <f t="shared" si="6"/>
        <v>0.44530534868666621</v>
      </c>
      <c r="D10" s="126">
        <f t="shared" si="6"/>
        <v>0.44785334497498619</v>
      </c>
      <c r="E10" s="126">
        <f t="shared" si="6"/>
        <v>0.44346470650153502</v>
      </c>
      <c r="F10" s="126">
        <f t="shared" si="6"/>
        <v>0.433238257560978</v>
      </c>
      <c r="G10" s="126">
        <f t="shared" si="6"/>
        <v>0.43214358216706156</v>
      </c>
      <c r="H10" s="126">
        <f t="shared" si="6"/>
        <v>0.4302056366951803</v>
      </c>
      <c r="I10" s="126">
        <f t="shared" si="6"/>
        <v>0.42772657984162415</v>
      </c>
      <c r="J10" s="126">
        <f t="shared" si="6"/>
        <v>0.42472869120893608</v>
      </c>
      <c r="K10" s="126">
        <f t="shared" si="6"/>
        <v>0.4212339233800616</v>
      </c>
      <c r="L10" s="106"/>
      <c r="M10" s="107"/>
      <c r="N10" s="111"/>
      <c r="O10" s="111"/>
      <c r="P10" s="111"/>
      <c r="Q10" s="111"/>
      <c r="R10" s="111"/>
      <c r="S10" s="111"/>
      <c r="T10" s="111"/>
      <c r="U10" s="111"/>
      <c r="V10" s="111">
        <v>66</v>
      </c>
      <c r="W10" s="111">
        <v>4867</v>
      </c>
      <c r="X10" s="111"/>
      <c r="Y10" s="111"/>
      <c r="Z10" s="111"/>
      <c r="AA10" s="111"/>
      <c r="AB10" s="111"/>
      <c r="AC10" s="111"/>
      <c r="AD10" s="111"/>
      <c r="AE10" s="111"/>
      <c r="AF10" s="111"/>
      <c r="AG10" s="111"/>
      <c r="AH10" s="111"/>
      <c r="AI10" s="111"/>
      <c r="AJ10" s="111"/>
      <c r="AK10" s="111"/>
      <c r="AL10" s="111"/>
      <c r="AM10" s="111"/>
    </row>
    <row r="11" spans="1:39" s="141" customFormat="1" ht="25" customHeight="1" x14ac:dyDescent="0.35">
      <c r="A11" s="429" t="str">
        <f>'[1]revenue breakdown'!T16</f>
        <v>Baby Food</v>
      </c>
      <c r="B11" s="429"/>
      <c r="C11" s="429"/>
      <c r="D11" s="429"/>
      <c r="E11" s="429"/>
      <c r="F11" s="429"/>
      <c r="G11" s="429"/>
      <c r="H11" s="429"/>
      <c r="I11" s="429"/>
      <c r="J11" s="429"/>
      <c r="K11" s="429"/>
      <c r="L11" s="106"/>
      <c r="M11" s="107"/>
      <c r="N11" s="109"/>
      <c r="O11" s="131" t="s">
        <v>42</v>
      </c>
      <c r="P11" s="109"/>
      <c r="Q11" s="109"/>
      <c r="R11" s="109"/>
      <c r="S11" s="109"/>
      <c r="T11" s="109"/>
      <c r="U11" s="109"/>
      <c r="V11" s="109" t="s">
        <v>11</v>
      </c>
      <c r="W11" s="108">
        <f>V10/SUM(V10:W10)</f>
        <v>1.3379282383944861E-2</v>
      </c>
      <c r="X11" s="109"/>
      <c r="Y11" s="109"/>
      <c r="Z11" s="109"/>
      <c r="AA11" s="109"/>
      <c r="AB11" s="109"/>
      <c r="AC11" s="109"/>
      <c r="AD11" s="109"/>
      <c r="AE11" s="109"/>
      <c r="AF11" s="109"/>
      <c r="AG11" s="109"/>
      <c r="AH11" s="109"/>
      <c r="AI11" s="109"/>
      <c r="AJ11" s="109"/>
      <c r="AK11" s="109"/>
      <c r="AL11" s="109"/>
      <c r="AM11" s="109"/>
    </row>
    <row r="12" spans="1:39" ht="25" customHeight="1" x14ac:dyDescent="0.35">
      <c r="A12" s="121" t="s">
        <v>46</v>
      </c>
      <c r="B12" s="121">
        <f>'[1]revenue breakdown'!M17</f>
        <v>6720.9928131646411</v>
      </c>
      <c r="C12" s="121">
        <f>'[1]revenue breakdown'!N17</f>
        <v>6560.5624572777851</v>
      </c>
      <c r="D12" s="121">
        <f>'[1]revenue breakdown'!O17</f>
        <v>6721.2421265471248</v>
      </c>
      <c r="E12" s="121">
        <f>'[1]revenue breakdown'!P17</f>
        <v>6756.6950145952778</v>
      </c>
      <c r="F12" s="121">
        <f>'[1]revenue breakdown'!Q17</f>
        <v>6912.1130713899711</v>
      </c>
      <c r="G12" s="121">
        <f>F12*(1+G13)</f>
        <v>6390.878019980476</v>
      </c>
      <c r="H12" s="121">
        <f t="shared" ref="H12:K12" si="7">G12*(1+H13)</f>
        <v>5901.1883373330693</v>
      </c>
      <c r="I12" s="121">
        <f t="shared" si="7"/>
        <v>5440.6045490591423</v>
      </c>
      <c r="J12" s="121">
        <f t="shared" si="7"/>
        <v>5007.1203623342253</v>
      </c>
      <c r="K12" s="121">
        <f t="shared" si="7"/>
        <v>4599.0822487867381</v>
      </c>
      <c r="L12" s="106" t="s">
        <v>404</v>
      </c>
      <c r="M12" s="107"/>
      <c r="N12" s="107"/>
      <c r="O12" s="106">
        <f>AVERAGE(C14:F14)</f>
        <v>-5.0239106810510525E-2</v>
      </c>
      <c r="P12" s="132" t="s">
        <v>43</v>
      </c>
      <c r="Q12" s="107"/>
      <c r="R12" s="107"/>
      <c r="S12" s="107"/>
      <c r="T12" s="107"/>
      <c r="U12" s="133">
        <f>O3/B3</f>
        <v>24.273205236868115</v>
      </c>
      <c r="V12" s="107"/>
      <c r="W12" s="107"/>
      <c r="X12" s="107"/>
      <c r="Y12" s="107"/>
      <c r="Z12" s="107"/>
      <c r="AA12" s="107"/>
      <c r="AB12" s="107"/>
      <c r="AC12" s="107"/>
      <c r="AD12" s="107"/>
      <c r="AE12" s="107"/>
      <c r="AF12" s="107"/>
      <c r="AG12" s="107"/>
      <c r="AH12" s="107"/>
      <c r="AI12" s="107"/>
      <c r="AJ12" s="107"/>
      <c r="AK12" s="107"/>
      <c r="AL12" s="107"/>
      <c r="AM12" s="107"/>
    </row>
    <row r="13" spans="1:39" ht="25" customHeight="1" x14ac:dyDescent="0.35">
      <c r="A13" s="124" t="s">
        <v>31</v>
      </c>
      <c r="B13" s="124"/>
      <c r="C13" s="126">
        <f>C12/B12-1</f>
        <v>-2.3870038303361318E-2</v>
      </c>
      <c r="D13" s="126">
        <f>D12/C12-1</f>
        <v>2.4491752089196961E-2</v>
      </c>
      <c r="E13" s="126">
        <f>E12/D12-1</f>
        <v>5.2747524015126501E-3</v>
      </c>
      <c r="F13" s="126">
        <f>F12/E12-1</f>
        <v>2.3002082594962614E-2</v>
      </c>
      <c r="G13" s="127">
        <f>(1+G14)*(1+G15)-1</f>
        <v>-7.5408930095045346E-2</v>
      </c>
      <c r="H13" s="127">
        <f>(1+H14)*(1+H15)-1</f>
        <v>-7.662322471441918E-2</v>
      </c>
      <c r="I13" s="127">
        <f>(1+I14)*(1+I15)-1</f>
        <v>-7.8049328702171072E-2</v>
      </c>
      <c r="J13" s="127">
        <f>(1+J14)*(1+J15)-1</f>
        <v>-7.9675738755885295E-2</v>
      </c>
      <c r="K13" s="127">
        <f>(1+K14)*(1+K15)-1</f>
        <v>-8.1491572804386792E-2</v>
      </c>
      <c r="M13" s="107"/>
      <c r="N13" s="107" t="s">
        <v>44</v>
      </c>
      <c r="O13" s="106">
        <f>AVERAGE(C15:F15)</f>
        <v>-5.0887197769869941E-3</v>
      </c>
      <c r="P13" s="106">
        <f>AVERAGE(O13:O14)</f>
        <v>1.3455640111506503E-2</v>
      </c>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row>
    <row r="14" spans="1:39" ht="25" customHeight="1" x14ac:dyDescent="0.35">
      <c r="A14" s="124" t="s">
        <v>105</v>
      </c>
      <c r="B14" s="124"/>
      <c r="C14" s="126">
        <f>'[1]baby food'!F8/'[1]baby food'!E8-1</f>
        <v>-4.0816326530612734E-3</v>
      </c>
      <c r="D14" s="126">
        <f>'[1]baby food'!G8/'[1]baby food'!F8-1</f>
        <v>-4.9180327868852403E-2</v>
      </c>
      <c r="E14" s="126">
        <f>'[1]baby food'!H8/'[1]baby food'!G8-1</f>
        <v>-7.3275862068965525E-2</v>
      </c>
      <c r="F14" s="126">
        <f>'[1]baby food'!I8/'[1]baby food'!H8-1</f>
        <v>-7.4418604651162901E-2</v>
      </c>
      <c r="G14" s="127">
        <f>F14*(1+$O$12)</f>
        <v>-7.0679880423403965E-2</v>
      </c>
      <c r="H14" s="127">
        <f>G14*(1+$O$12)</f>
        <v>-6.7128986361458462E-2</v>
      </c>
      <c r="I14" s="127">
        <f>H14*(1+$O$12)</f>
        <v>-6.3756486045563845E-2</v>
      </c>
      <c r="J14" s="127">
        <f>I14*(1+$O$12)</f>
        <v>-6.0553417133257938E-2</v>
      </c>
      <c r="K14" s="127">
        <f>J14*(1+$O$12)</f>
        <v>-5.7511267542158788E-2</v>
      </c>
      <c r="M14" s="107"/>
      <c r="N14" s="107" t="s">
        <v>47</v>
      </c>
      <c r="O14" s="106">
        <v>3.2000000000000001E-2</v>
      </c>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row>
    <row r="15" spans="1:39" ht="25" customHeight="1" x14ac:dyDescent="0.35">
      <c r="A15" s="124" t="s">
        <v>37</v>
      </c>
      <c r="B15" s="124"/>
      <c r="C15" s="126">
        <f>'[1]baby food'!Q45/'[1]baby food'!P45-1</f>
        <v>-2.0491988809382411E-3</v>
      </c>
      <c r="D15" s="126">
        <f>'[1]baby food'!R45/'[1]baby food'!Q45-1</f>
        <v>3.356820999786958E-4</v>
      </c>
      <c r="E15" s="126">
        <f>'[1]baby food'!S45/'[1]baby food'!R45-1</f>
        <v>-1.8105634846015906E-2</v>
      </c>
      <c r="F15" s="126">
        <f>'[1]baby food'!T45/'[1]baby food'!S45-1</f>
        <v>-5.3572748097252543E-4</v>
      </c>
      <c r="G15" s="127">
        <f>AVERAGE(O13)</f>
        <v>-5.0887197769869941E-3</v>
      </c>
      <c r="H15" s="127">
        <f>G15+$O$13</f>
        <v>-1.0177439553973988E-2</v>
      </c>
      <c r="I15" s="127">
        <f>H15+$O$13</f>
        <v>-1.5266159330960982E-2</v>
      </c>
      <c r="J15" s="127">
        <f>I15+$O$13</f>
        <v>-2.0354879107947976E-2</v>
      </c>
      <c r="K15" s="127">
        <f>J15+$O$13</f>
        <v>-2.544359888493497E-2</v>
      </c>
      <c r="L15" s="106">
        <f>G3/F3-1</f>
        <v>9.5419814734958308E-3</v>
      </c>
      <c r="M15" s="106">
        <f>H3/G3-1</f>
        <v>1.1483555167826509E-2</v>
      </c>
      <c r="N15" s="106">
        <f>I3/H3-1</f>
        <v>1.2739669715654545E-2</v>
      </c>
      <c r="O15" s="106">
        <f>J3/I3-1</f>
        <v>1.3966527775682414E-2</v>
      </c>
      <c r="P15" s="106">
        <f>K3/J3-1</f>
        <v>1.5168556978344627E-2</v>
      </c>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row>
    <row r="16" spans="1:39" s="140" customFormat="1" ht="25" customHeight="1" x14ac:dyDescent="0.35">
      <c r="A16" s="124" t="s">
        <v>106</v>
      </c>
      <c r="B16" s="126">
        <f t="shared" ref="B16:K16" si="8">B12/B3</f>
        <v>0.12786802645572778</v>
      </c>
      <c r="C16" s="126">
        <f t="shared" si="8"/>
        <v>0.11649114188833647</v>
      </c>
      <c r="D16" s="126">
        <f t="shared" si="8"/>
        <v>0.11270390189199785</v>
      </c>
      <c r="E16" s="126">
        <f t="shared" si="8"/>
        <v>0.11091246924666938</v>
      </c>
      <c r="F16" s="126">
        <f t="shared" si="8"/>
        <v>0.11528595296149825</v>
      </c>
      <c r="G16" s="126">
        <f t="shared" si="8"/>
        <v>0.10558487368509932</v>
      </c>
      <c r="H16" s="126">
        <f t="shared" si="8"/>
        <v>9.6387746181504627E-2</v>
      </c>
      <c r="I16" s="126">
        <f t="shared" si="8"/>
        <v>8.7746881014222899E-2</v>
      </c>
      <c r="J16" s="126">
        <f t="shared" si="8"/>
        <v>7.9643243868258468E-2</v>
      </c>
      <c r="K16" s="126">
        <f t="shared" si="8"/>
        <v>7.2059945276409146E-2</v>
      </c>
      <c r="L16" s="106"/>
      <c r="M16" s="107"/>
      <c r="N16" s="134">
        <f>SUM(L15:P15)/5</f>
        <v>1.2580058222200785E-2</v>
      </c>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row>
    <row r="17" spans="1:39" s="142" customFormat="1" ht="25" customHeight="1" x14ac:dyDescent="0.35">
      <c r="A17" s="429" t="str">
        <f>'[1]revenue breakdown'!T18</f>
        <v>Yoghurt and Sour Milk Products</v>
      </c>
      <c r="B17" s="429"/>
      <c r="C17" s="429"/>
      <c r="D17" s="429"/>
      <c r="E17" s="429"/>
      <c r="F17" s="429"/>
      <c r="G17" s="429"/>
      <c r="H17" s="429"/>
      <c r="I17" s="429"/>
      <c r="J17" s="429"/>
      <c r="K17" s="429"/>
      <c r="L17" s="135"/>
      <c r="M17" s="136">
        <v>1</v>
      </c>
      <c r="N17" s="122">
        <f>SUM(L18:P18)/5</f>
        <v>6.9035458196279095E-3</v>
      </c>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row>
    <row r="18" spans="1:39" ht="25" customHeight="1" x14ac:dyDescent="0.35">
      <c r="A18" s="120" t="s">
        <v>46</v>
      </c>
      <c r="B18" s="121">
        <f>'[1]revenue breakdown'!M19</f>
        <v>11034.082048659928</v>
      </c>
      <c r="C18" s="121">
        <f>'[1]revenue breakdown'!N19</f>
        <v>11732.844810173981</v>
      </c>
      <c r="D18" s="121">
        <f>'[1]revenue breakdown'!O19</f>
        <v>12763.144326237656</v>
      </c>
      <c r="E18" s="121">
        <f>'[1]revenue breakdown'!P19</f>
        <v>13328.998840893822</v>
      </c>
      <c r="F18" s="121">
        <f>'[1]revenue breakdown'!Q19</f>
        <v>13525.039909262496</v>
      </c>
      <c r="G18" s="121">
        <f>F18*(1+G19)</f>
        <v>14014.491675354489</v>
      </c>
      <c r="H18" s="121">
        <f>G18*(1+H19)</f>
        <v>14527.033784471019</v>
      </c>
      <c r="I18" s="121">
        <f>H18*(1+I19)</f>
        <v>15063.749566003329</v>
      </c>
      <c r="J18" s="121">
        <f>I18*(1+J19)</f>
        <v>15625.777185562163</v>
      </c>
      <c r="K18" s="121">
        <f>J18*(1+K19)</f>
        <v>16214.312335786139</v>
      </c>
      <c r="L18" s="106">
        <f>G5/F5-1</f>
        <v>6.9911431138685032E-3</v>
      </c>
      <c r="M18" s="106">
        <f>H5/G5-1</f>
        <v>6.9475628344681795E-3</v>
      </c>
      <c r="N18" s="106">
        <f>I5/H5-1</f>
        <v>6.9037647322529594E-3</v>
      </c>
      <c r="O18" s="106">
        <f>J5/I5-1</f>
        <v>6.8597477185008415E-3</v>
      </c>
      <c r="P18" s="106">
        <f>K5/J5-1</f>
        <v>6.8155106990490655E-3</v>
      </c>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row>
    <row r="19" spans="1:39" ht="25" customHeight="1" x14ac:dyDescent="0.35">
      <c r="A19" s="124" t="s">
        <v>31</v>
      </c>
      <c r="B19" s="124"/>
      <c r="C19" s="126">
        <f>C18/B18-1</f>
        <v>6.3327674964943403E-2</v>
      </c>
      <c r="D19" s="126">
        <f>D18/C18-1</f>
        <v>8.7813273995601238E-2</v>
      </c>
      <c r="E19" s="126">
        <f>E18/D18-1</f>
        <v>4.4335040033428141E-2</v>
      </c>
      <c r="F19" s="126">
        <f>F18/E18-1</f>
        <v>1.4707861461223271E-2</v>
      </c>
      <c r="G19" s="127">
        <f>((1+G21)*(1+G22)-1)*$B$20</f>
        <v>3.6188563536644021E-2</v>
      </c>
      <c r="H19" s="127">
        <f t="shared" ref="H19:K19" si="9">((1+H21)*(1+H22)-1)*$B$20</f>
        <v>3.6572293950402283E-2</v>
      </c>
      <c r="I19" s="127">
        <f t="shared" si="9"/>
        <v>3.6945999403267302E-2</v>
      </c>
      <c r="J19" s="127">
        <f t="shared" si="9"/>
        <v>3.7309941797442576E-2</v>
      </c>
      <c r="K19" s="127">
        <f t="shared" si="9"/>
        <v>3.7664376192933849E-2</v>
      </c>
      <c r="M19" s="107"/>
      <c r="N19" s="106">
        <f>AVERAGE(C21:F21)</f>
        <v>-2.6125009990934395E-2</v>
      </c>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row>
    <row r="20" spans="1:39" ht="25" customHeight="1" x14ac:dyDescent="0.35">
      <c r="A20" s="124"/>
      <c r="B20" s="130">
        <f>AVERAGE(C20:F20)</f>
        <v>0.46795308464898339</v>
      </c>
      <c r="C20" s="130">
        <f>C19/C22</f>
        <v>0.42605180943732174</v>
      </c>
      <c r="D20" s="130">
        <f t="shared" ref="D20:F20" si="10">D19/D22</f>
        <v>0.75793487079492783</v>
      </c>
      <c r="E20" s="130">
        <f t="shared" si="10"/>
        <v>0.51248327948096661</v>
      </c>
      <c r="F20" s="130">
        <f t="shared" si="10"/>
        <v>0.17534237888271728</v>
      </c>
      <c r="G20" s="127"/>
      <c r="H20" s="127"/>
      <c r="I20" s="127"/>
      <c r="J20" s="127"/>
      <c r="K20" s="127"/>
      <c r="M20" s="107"/>
      <c r="N20" s="106">
        <f>AVERAGE(C22:F22)</f>
        <v>0.10872201742258292</v>
      </c>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row>
    <row r="21" spans="1:39" ht="25" customHeight="1" x14ac:dyDescent="0.35">
      <c r="A21" s="124" t="s">
        <v>105</v>
      </c>
      <c r="B21" s="124"/>
      <c r="C21" s="126">
        <f>'[1]yogurt and sour milk'!G62/'[1]yogurt and sour milk'!F62-1</f>
        <v>-3.4111310592459754E-2</v>
      </c>
      <c r="D21" s="126">
        <f>'[1]yogurt and sour milk'!H62/'[1]yogurt and sour milk'!G62-1</f>
        <v>-2.0446096654274992E-2</v>
      </c>
      <c r="E21" s="126">
        <f>'[1]yogurt and sour milk'!I62/'[1]yogurt and sour milk'!H62-1</f>
        <v>-2.0872865275142316E-2</v>
      </c>
      <c r="F21" s="126">
        <f>'[1]yogurt and sour milk'!J62/'[1]yogurt and sour milk'!I62-1</f>
        <v>-2.9069767441860517E-2</v>
      </c>
      <c r="G21" s="127">
        <f>F21*(1+$N$19)</f>
        <v>-2.8310319477007771E-2</v>
      </c>
      <c r="H21" s="127">
        <f>G21*(1+$N$19)</f>
        <v>-2.7570712097824399E-2</v>
      </c>
      <c r="I21" s="127">
        <f>H21*(1+$N$19)</f>
        <v>-2.6850426968811562E-2</v>
      </c>
      <c r="J21" s="127">
        <f>I21*(1+$N$19)</f>
        <v>-2.6148959295990506E-2</v>
      </c>
      <c r="K21" s="127">
        <f>J21*(1+$N$19)</f>
        <v>-2.5465817473130217E-2</v>
      </c>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row>
    <row r="22" spans="1:39" s="140" customFormat="1" ht="25" customHeight="1" x14ac:dyDescent="0.35">
      <c r="A22" s="124" t="s">
        <v>37</v>
      </c>
      <c r="B22" s="124"/>
      <c r="C22" s="126">
        <f>'[1]yogurt and sour milk'!G59/'[1]yogurt and sour milk'!F59-1</f>
        <v>0.14863843683372457</v>
      </c>
      <c r="D22" s="126">
        <f>'[1]yogurt and sour milk'!H59/'[1]yogurt and sour milk'!G59-1</f>
        <v>0.11585860128522918</v>
      </c>
      <c r="E22" s="126">
        <f>'[1]yogurt and sour milk'!I59/'[1]yogurt and sour milk'!H59-1</f>
        <v>8.6510217617889573E-2</v>
      </c>
      <c r="F22" s="126">
        <f>'[1]yogurt and sour milk'!J59/'[1]yogurt and sour milk'!I59-1</f>
        <v>8.3880813953488342E-2</v>
      </c>
      <c r="G22" s="127">
        <f>$N$20</f>
        <v>0.10872201742258292</v>
      </c>
      <c r="H22" s="127">
        <f>$N$20</f>
        <v>0.10872201742258292</v>
      </c>
      <c r="I22" s="127">
        <f>$N$20</f>
        <v>0.10872201742258292</v>
      </c>
      <c r="J22" s="127">
        <f>$N$20</f>
        <v>0.10872201742258292</v>
      </c>
      <c r="K22" s="127">
        <f>$N$20</f>
        <v>0.10872201742258292</v>
      </c>
      <c r="L22" s="106">
        <f>G18/F18-1</f>
        <v>3.6188563536644125E-2</v>
      </c>
      <c r="M22" s="106">
        <f>H18/G18-1</f>
        <v>3.657229395040229E-2</v>
      </c>
      <c r="N22" s="106">
        <f>I18/H18-1</f>
        <v>3.694599940326726E-2</v>
      </c>
      <c r="O22" s="106">
        <f>J18/I18-1</f>
        <v>3.7309941797442514E-2</v>
      </c>
      <c r="P22" s="106">
        <f>K18/J18-1</f>
        <v>3.7664376192933835E-2</v>
      </c>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row>
    <row r="23" spans="1:39" ht="25" customHeight="1" x14ac:dyDescent="0.35">
      <c r="A23" s="124" t="s">
        <v>106</v>
      </c>
      <c r="B23" s="126">
        <f t="shared" ref="B23:K23" si="11">B18/B3</f>
        <v>0.20992527957314994</v>
      </c>
      <c r="C23" s="126">
        <f t="shared" si="11"/>
        <v>0.20833160242527937</v>
      </c>
      <c r="D23" s="126">
        <f t="shared" si="11"/>
        <v>0.21401641822962711</v>
      </c>
      <c r="E23" s="126">
        <f t="shared" si="11"/>
        <v>0.21879812109857091</v>
      </c>
      <c r="F23" s="126">
        <f t="shared" si="11"/>
        <v>0.22558182985106615</v>
      </c>
      <c r="G23" s="126">
        <f t="shared" si="11"/>
        <v>0.23153600001079355</v>
      </c>
      <c r="H23" s="126">
        <f t="shared" si="11"/>
        <v>0.23727899622002943</v>
      </c>
      <c r="I23" s="126">
        <f t="shared" si="11"/>
        <v>0.24295039804440993</v>
      </c>
      <c r="J23" s="126">
        <f t="shared" si="11"/>
        <v>0.24854357254568574</v>
      </c>
      <c r="K23" s="126">
        <f t="shared" si="11"/>
        <v>0.25405122074509223</v>
      </c>
      <c r="M23" s="107"/>
      <c r="N23" s="108">
        <f>SUM(L22:P22)/5</f>
        <v>3.6936234976138002E-2</v>
      </c>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row>
    <row r="24" spans="1:39" ht="25" customHeight="1" x14ac:dyDescent="0.35">
      <c r="A24" s="429" t="str">
        <f>'[1]revenue breakdown'!T19</f>
        <v>Condensed milk</v>
      </c>
      <c r="B24" s="429"/>
      <c r="C24" s="429"/>
      <c r="D24" s="429"/>
      <c r="E24" s="429"/>
      <c r="F24" s="429"/>
      <c r="G24" s="429"/>
      <c r="H24" s="429"/>
      <c r="I24" s="429"/>
      <c r="J24" s="429"/>
      <c r="K24" s="429"/>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row>
    <row r="25" spans="1:39" ht="25" customHeight="1" x14ac:dyDescent="0.35">
      <c r="A25" s="120" t="s">
        <v>46</v>
      </c>
      <c r="B25" s="121">
        <f>'[1]revenue breakdown'!M20</f>
        <v>6642.0427505041298</v>
      </c>
      <c r="C25" s="121">
        <f>'[1]revenue breakdown'!N20</f>
        <v>6822.8857545156197</v>
      </c>
      <c r="D25" s="121">
        <f>'[1]revenue breakdown'!O20</f>
        <v>7298.1950856699314</v>
      </c>
      <c r="E25" s="121">
        <f>'[1]revenue breakdown'!P20</f>
        <v>7294.6848471825779</v>
      </c>
      <c r="F25" s="121">
        <f>'[1]revenue breakdown'!Q20</f>
        <v>7417.1671480160494</v>
      </c>
      <c r="G25" s="121">
        <f>F25*(1+G26)</f>
        <v>7884.1433270433436</v>
      </c>
      <c r="H25" s="121">
        <f>G25*(1+H26)</f>
        <v>8380.7059945007022</v>
      </c>
      <c r="I25" s="121">
        <f>H25*(1+I26)</f>
        <v>8908.7431290293898</v>
      </c>
      <c r="J25" s="121">
        <f>I25*(1+J26)</f>
        <v>9470.264160227478</v>
      </c>
      <c r="K25" s="121">
        <f>J25*(1+K26)</f>
        <v>10067.407852358614</v>
      </c>
      <c r="M25" s="107"/>
      <c r="N25" s="106">
        <f>AVERAGE(C27:F27)</f>
        <v>9.0506365978993975E-3</v>
      </c>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row>
    <row r="26" spans="1:39" ht="25" customHeight="1" x14ac:dyDescent="0.35">
      <c r="A26" s="124" t="s">
        <v>31</v>
      </c>
      <c r="B26" s="124"/>
      <c r="C26" s="126">
        <f>C25/B25-1</f>
        <v>2.7227015965497037E-2</v>
      </c>
      <c r="D26" s="126">
        <f>D25/C25-1</f>
        <v>6.9663973317996009E-2</v>
      </c>
      <c r="E26" s="126">
        <f>E25/D25-1</f>
        <v>-4.8097350730536004E-4</v>
      </c>
      <c r="F26" s="126">
        <f>F25/E25-1</f>
        <v>1.6790622679302869E-2</v>
      </c>
      <c r="G26" s="127">
        <f>(1+G27)*(1+G28)-1</f>
        <v>6.2958831816565031E-2</v>
      </c>
      <c r="H26" s="127">
        <f>(1+H27)*(1+H28)-1</f>
        <v>6.2982450579519789E-2</v>
      </c>
      <c r="I26" s="127">
        <f>(1+I27)*(1+I28)-1</f>
        <v>6.3006283107315486E-2</v>
      </c>
      <c r="J26" s="127">
        <f>(1+J27)*(1+J28)-1</f>
        <v>6.3030331334658962E-2</v>
      </c>
      <c r="K26" s="127">
        <f>(1+K27)*(1+K28)-1</f>
        <v>6.3054597213769048E-2</v>
      </c>
      <c r="M26" s="107"/>
      <c r="N26" s="106">
        <f>AVERAGE(C28:F28)</f>
        <v>6.0349207322261234E-2</v>
      </c>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row>
    <row r="27" spans="1:39" ht="25" customHeight="1" x14ac:dyDescent="0.35">
      <c r="A27" s="124" t="s">
        <v>105</v>
      </c>
      <c r="B27" s="124"/>
      <c r="C27" s="126">
        <f>'[1]Condensed milk'!E7/'[1]Condensed milk'!D7-1</f>
        <v>6.3051702395964249E-3</v>
      </c>
      <c r="D27" s="126">
        <f>'[1]Condensed milk'!F7/'[1]Condensed milk'!E7-1</f>
        <v>2.2556390977443552E-2</v>
      </c>
      <c r="E27" s="126">
        <f>'[1]Condensed milk'!G7/'[1]Condensed milk'!F7-1</f>
        <v>4.9019607843137081E-3</v>
      </c>
      <c r="F27" s="126">
        <f>'[1]Condensed milk'!H7/'[1]Condensed milk'!G7-1</f>
        <v>2.4390243902439046E-3</v>
      </c>
      <c r="G27" s="137">
        <f>F27*(1+$N$25)</f>
        <v>2.4610991136534157E-3</v>
      </c>
      <c r="H27" s="137">
        <f>G27*(1+$N$25)</f>
        <v>2.4833736273625054E-3</v>
      </c>
      <c r="I27" s="137">
        <f>H27*(1+$N$25)</f>
        <v>2.505849739600571E-3</v>
      </c>
      <c r="J27" s="137">
        <f>I27*(1+$N$25)</f>
        <v>2.5285292749626367E-3</v>
      </c>
      <c r="K27" s="137">
        <f>J27*(1+$N$25)</f>
        <v>2.551414074557474E-3</v>
      </c>
      <c r="M27" s="107"/>
      <c r="N27" s="107"/>
      <c r="O27" s="107"/>
      <c r="P27" s="107"/>
      <c r="Q27" s="107"/>
      <c r="R27" s="107"/>
      <c r="S27" s="107"/>
      <c r="T27" s="107"/>
      <c r="U27" s="110">
        <v>2018</v>
      </c>
      <c r="V27" s="110">
        <v>2019</v>
      </c>
      <c r="W27" s="110">
        <v>2020</v>
      </c>
      <c r="X27" s="110">
        <v>2021</v>
      </c>
      <c r="Y27" s="110">
        <v>2022</v>
      </c>
      <c r="Z27" s="110" t="s">
        <v>50</v>
      </c>
      <c r="AA27" s="110" t="s">
        <v>51</v>
      </c>
      <c r="AB27" s="110" t="s">
        <v>52</v>
      </c>
      <c r="AC27" s="110" t="s">
        <v>53</v>
      </c>
      <c r="AD27" s="110" t="s">
        <v>54</v>
      </c>
      <c r="AE27" s="107"/>
      <c r="AF27" s="107"/>
      <c r="AG27" s="107"/>
      <c r="AH27" s="107"/>
      <c r="AI27" s="107"/>
      <c r="AJ27" s="107"/>
      <c r="AK27" s="107"/>
      <c r="AL27" s="107"/>
      <c r="AM27" s="107"/>
    </row>
    <row r="28" spans="1:39" s="140" customFormat="1" ht="25" customHeight="1" x14ac:dyDescent="0.35">
      <c r="A28" s="124" t="s">
        <v>37</v>
      </c>
      <c r="B28" s="124"/>
      <c r="C28" s="126">
        <f>'[1]Condensed milk'!O71/'[1]Condensed milk'!N71-1</f>
        <v>8.9482928387045302E-2</v>
      </c>
      <c r="D28" s="126">
        <f>'[1]Condensed milk'!P71/'[1]Condensed milk'!O71-1</f>
        <v>6.978590358944281E-2</v>
      </c>
      <c r="E28" s="126">
        <f>'[1]Condensed milk'!Q71/'[1]Condensed milk'!P71-1</f>
        <v>3.0093728950943532E-2</v>
      </c>
      <c r="F28" s="126">
        <f>'[1]Condensed milk'!R71/'[1]Condensed milk'!Q71-1</f>
        <v>5.2034268361613289E-2</v>
      </c>
      <c r="G28" s="127">
        <f>$N$26</f>
        <v>6.0349207322261234E-2</v>
      </c>
      <c r="H28" s="127">
        <f>$N$26</f>
        <v>6.0349207322261234E-2</v>
      </c>
      <c r="I28" s="127">
        <f>$N$26</f>
        <v>6.0349207322261234E-2</v>
      </c>
      <c r="J28" s="127">
        <f>$N$26</f>
        <v>6.0349207322261234E-2</v>
      </c>
      <c r="K28" s="127">
        <f>$N$26</f>
        <v>6.0349207322261234E-2</v>
      </c>
      <c r="L28" s="106"/>
      <c r="M28" s="107"/>
      <c r="N28" s="111"/>
      <c r="O28" s="111"/>
      <c r="P28" s="111"/>
      <c r="Q28" s="111"/>
      <c r="R28" s="111"/>
      <c r="S28" s="111"/>
      <c r="T28" s="107" t="s">
        <v>56</v>
      </c>
      <c r="U28" s="109">
        <v>22610.49491097089</v>
      </c>
      <c r="V28" s="109">
        <v>25078.761399893556</v>
      </c>
      <c r="W28" s="109">
        <v>26708.310166984938</v>
      </c>
      <c r="X28" s="109">
        <v>27015.499627043584</v>
      </c>
      <c r="Y28" s="109">
        <v>25975.339980175617</v>
      </c>
      <c r="Z28" s="109">
        <v>26156.937299408415</v>
      </c>
      <c r="AA28" s="109">
        <v>26338.664264853298</v>
      </c>
      <c r="AB28" s="109">
        <v>26520.500206299643</v>
      </c>
      <c r="AC28" s="109">
        <v>26702.424147083308</v>
      </c>
      <c r="AD28" s="109">
        <v>26884.414804548302</v>
      </c>
      <c r="AE28" s="111"/>
      <c r="AF28" s="111"/>
      <c r="AG28" s="111"/>
      <c r="AH28" s="111"/>
      <c r="AI28" s="111"/>
      <c r="AJ28" s="111"/>
      <c r="AK28" s="111"/>
      <c r="AL28" s="111"/>
      <c r="AM28" s="111"/>
    </row>
    <row r="29" spans="1:39" ht="25" customHeight="1" x14ac:dyDescent="0.35">
      <c r="A29" s="124" t="s">
        <v>106</v>
      </c>
      <c r="B29" s="126">
        <f t="shared" ref="B29:K29" si="12">B25/B3</f>
        <v>0.12636598814359304</v>
      </c>
      <c r="C29" s="126">
        <f t="shared" si="12"/>
        <v>0.12114902612282763</v>
      </c>
      <c r="D29" s="126">
        <f t="shared" si="12"/>
        <v>0.12237843056943437</v>
      </c>
      <c r="E29" s="126">
        <f t="shared" si="12"/>
        <v>0.11974367749759172</v>
      </c>
      <c r="F29" s="126">
        <f t="shared" si="12"/>
        <v>0.12370966361547028</v>
      </c>
      <c r="G29" s="126">
        <f t="shared" si="12"/>
        <v>0.13025538505014891</v>
      </c>
      <c r="H29" s="126">
        <f t="shared" si="12"/>
        <v>0.13688723627228219</v>
      </c>
      <c r="I29" s="126">
        <f t="shared" si="12"/>
        <v>0.14368153691015856</v>
      </c>
      <c r="J29" s="126">
        <f t="shared" si="12"/>
        <v>0.15063399787302323</v>
      </c>
      <c r="K29" s="126">
        <f t="shared" si="12"/>
        <v>0.15773948359102138</v>
      </c>
      <c r="M29" s="107"/>
      <c r="N29" s="106">
        <f>AVERAGE([1]cheese!E23,'[1]plant-based dairy'!E26)</f>
        <v>-3.73290443238713E-3</v>
      </c>
      <c r="O29" s="107"/>
      <c r="P29" s="107"/>
      <c r="Q29" s="107"/>
      <c r="R29" s="107"/>
      <c r="S29" s="107"/>
      <c r="AE29" s="107"/>
      <c r="AF29" s="107"/>
      <c r="AG29" s="107"/>
      <c r="AH29" s="107"/>
      <c r="AI29" s="107"/>
      <c r="AJ29" s="107"/>
      <c r="AK29" s="107"/>
      <c r="AL29" s="107"/>
      <c r="AM29" s="107"/>
    </row>
    <row r="30" spans="1:39" ht="25" customHeight="1" x14ac:dyDescent="0.35">
      <c r="A30" s="429" t="str">
        <f>'[1]revenue breakdown'!T20</f>
        <v>Plant-based and other dairy</v>
      </c>
      <c r="B30" s="429"/>
      <c r="C30" s="429"/>
      <c r="D30" s="429"/>
      <c r="E30" s="429"/>
      <c r="F30" s="429"/>
      <c r="G30" s="429"/>
      <c r="H30" s="429"/>
      <c r="I30" s="429"/>
      <c r="J30" s="429"/>
      <c r="K30" s="429"/>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row>
    <row r="31" spans="1:39" s="140" customFormat="1" ht="25" customHeight="1" x14ac:dyDescent="0.35">
      <c r="A31" s="120" t="s">
        <v>46</v>
      </c>
      <c r="B31" s="121">
        <f>'[1]revenue breakdown'!M21</f>
        <v>1612.1912267004036</v>
      </c>
      <c r="C31" s="121">
        <f>'[1]revenue breakdown'!N21</f>
        <v>1617.6187381390573</v>
      </c>
      <c r="D31" s="121">
        <f>'[1]revenue breakdown'!O21</f>
        <v>1672.6728445603449</v>
      </c>
      <c r="E31" s="121">
        <f>'[1]revenue breakdown'!P21</f>
        <v>1649.7534702847379</v>
      </c>
      <c r="F31" s="121">
        <f>'[1]revenue breakdown'!Q21</f>
        <v>1629.8683661558553</v>
      </c>
      <c r="G31" s="121">
        <f>F31*(1+$N$29)</f>
        <v>1623.7842233076244</v>
      </c>
      <c r="H31" s="121">
        <f>G31*(1+$N$29)</f>
        <v>1617.7227919831989</v>
      </c>
      <c r="I31" s="121">
        <f>H31*(1+$N$29)</f>
        <v>1611.6839874026311</v>
      </c>
      <c r="J31" s="121">
        <f>I31*(1+$N$29)</f>
        <v>1605.6677251024485</v>
      </c>
      <c r="K31" s="121">
        <f>J31*(1+$N$29)</f>
        <v>1599.6739209344726</v>
      </c>
      <c r="L31" s="106">
        <f>G25/F25-1</f>
        <v>6.2958831816565031E-2</v>
      </c>
      <c r="M31" s="106">
        <f>H25/G25-1</f>
        <v>6.2982450579519789E-2</v>
      </c>
      <c r="N31" s="106">
        <f>I25/H25-1</f>
        <v>6.3006283107315486E-2</v>
      </c>
      <c r="O31" s="106">
        <f>J25/I25-1</f>
        <v>6.3030331334658962E-2</v>
      </c>
      <c r="P31" s="106">
        <f>K25/J25-1</f>
        <v>6.3054597213769048E-2</v>
      </c>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row>
    <row r="32" spans="1:39" ht="25" customHeight="1" x14ac:dyDescent="0.35">
      <c r="A32" s="124" t="s">
        <v>106</v>
      </c>
      <c r="B32" s="126">
        <f t="shared" ref="B32:K32" si="13">B31/B3</f>
        <v>3.0672211108994315E-2</v>
      </c>
      <c r="C32" s="126">
        <f t="shared" si="13"/>
        <v>2.8722880876890327E-2</v>
      </c>
      <c r="D32" s="126">
        <f t="shared" si="13"/>
        <v>2.8047904333954411E-2</v>
      </c>
      <c r="E32" s="126">
        <f t="shared" si="13"/>
        <v>2.7081025655632966E-2</v>
      </c>
      <c r="F32" s="126">
        <f t="shared" si="13"/>
        <v>2.7184296010987066E-2</v>
      </c>
      <c r="G32" s="126">
        <f t="shared" si="13"/>
        <v>2.6826838436562181E-2</v>
      </c>
      <c r="H32" s="126">
        <f t="shared" si="13"/>
        <v>2.6423263409379779E-2</v>
      </c>
      <c r="I32" s="126">
        <f t="shared" si="13"/>
        <v>2.5993479548077642E-2</v>
      </c>
      <c r="J32" s="126">
        <f t="shared" si="13"/>
        <v>2.5539746790131199E-2</v>
      </c>
      <c r="K32" s="126">
        <f t="shared" si="13"/>
        <v>2.5064221287420203E-2</v>
      </c>
      <c r="M32" s="107"/>
      <c r="N32" s="107">
        <f>SUM(L31:P31)/5</f>
        <v>6.3006498810365658E-2</v>
      </c>
      <c r="O32" s="107"/>
      <c r="P32" s="107"/>
      <c r="Q32" s="107"/>
      <c r="R32" s="107"/>
      <c r="S32" s="107"/>
      <c r="T32" s="107"/>
      <c r="U32" s="107"/>
      <c r="V32" s="107"/>
      <c r="W32" s="110">
        <v>2018</v>
      </c>
      <c r="X32" s="110">
        <v>2019</v>
      </c>
      <c r="Y32" s="110">
        <v>2020</v>
      </c>
      <c r="Z32" s="110">
        <v>2021</v>
      </c>
      <c r="AA32" s="110">
        <v>2022</v>
      </c>
      <c r="AB32" s="110" t="s">
        <v>50</v>
      </c>
      <c r="AC32" s="107"/>
      <c r="AD32" s="107"/>
      <c r="AE32" s="107"/>
      <c r="AF32" s="107"/>
      <c r="AG32" s="107"/>
      <c r="AH32" s="107"/>
      <c r="AI32" s="107"/>
      <c r="AJ32" s="107"/>
      <c r="AK32" s="107"/>
      <c r="AL32" s="107"/>
      <c r="AM32" s="107"/>
    </row>
    <row r="33" spans="1:39" ht="25" customHeight="1" x14ac:dyDescent="0.35">
      <c r="A33" s="429" t="s">
        <v>107</v>
      </c>
      <c r="B33" s="429"/>
      <c r="C33" s="429"/>
      <c r="D33" s="429"/>
      <c r="E33" s="429"/>
      <c r="F33" s="429"/>
      <c r="G33" s="429"/>
      <c r="H33" s="429"/>
      <c r="I33" s="429"/>
      <c r="J33" s="429"/>
      <c r="K33" s="429"/>
      <c r="M33" s="107"/>
      <c r="N33" s="107"/>
      <c r="O33" s="107"/>
      <c r="P33" s="107"/>
      <c r="Q33" s="107"/>
      <c r="R33" s="107"/>
      <c r="S33" s="107"/>
      <c r="T33" s="107"/>
      <c r="U33" s="107"/>
      <c r="V33" s="107" t="s">
        <v>58</v>
      </c>
      <c r="W33" s="107">
        <v>31</v>
      </c>
      <c r="X33" s="107">
        <v>32</v>
      </c>
      <c r="Y33" s="107">
        <v>34</v>
      </c>
      <c r="Z33" s="107">
        <v>37</v>
      </c>
      <c r="AA33" s="107">
        <v>39</v>
      </c>
      <c r="AB33" s="107">
        <v>42</v>
      </c>
      <c r="AC33" s="107"/>
      <c r="AD33" s="107"/>
      <c r="AE33" s="107"/>
      <c r="AF33" s="107"/>
      <c r="AG33" s="107"/>
      <c r="AH33" s="107"/>
      <c r="AI33" s="107"/>
      <c r="AJ33" s="107"/>
      <c r="AK33" s="107"/>
      <c r="AL33" s="107"/>
      <c r="AM33" s="107"/>
    </row>
    <row r="34" spans="1:39" ht="25" customHeight="1" x14ac:dyDescent="0.35">
      <c r="A34" s="120" t="s">
        <v>46</v>
      </c>
      <c r="B34" s="139">
        <f>'[1]revenue breakdown'!M22</f>
        <v>3942.1462500000052</v>
      </c>
      <c r="C34" s="139">
        <f>'[1]revenue breakdown'!N22</f>
        <v>4505.4498400000011</v>
      </c>
      <c r="D34" s="139">
        <f>'[1]revenue breakdown'!O22</f>
        <v>4472.7214500000046</v>
      </c>
      <c r="E34" s="139">
        <f>'[1]revenue breakdown'!P22</f>
        <v>4873.533199999998</v>
      </c>
      <c r="F34" s="139">
        <f>'[1]revenue breakdown'!Q22</f>
        <v>4496.7185250000184</v>
      </c>
      <c r="G34" s="121">
        <f>AVERAGE($B$34:$F$34)</f>
        <v>4458.1138530000053</v>
      </c>
      <c r="H34" s="121">
        <f>AVERAGE($B$34:$F$34)</f>
        <v>4458.1138530000053</v>
      </c>
      <c r="I34" s="121">
        <f>AVERAGE($B$34:$F$34)</f>
        <v>4458.1138530000053</v>
      </c>
      <c r="J34" s="121">
        <f>AVERAGE($B$34:$F$34)</f>
        <v>4458.1138530000053</v>
      </c>
      <c r="K34" s="121">
        <f>AVERAGE($B$34:$F$34)</f>
        <v>4458.1138530000053</v>
      </c>
      <c r="L34" s="106">
        <f>G34/F34-1</f>
        <v>-8.5850763807843178E-3</v>
      </c>
      <c r="M34" s="106">
        <f>H34/G34-1</f>
        <v>0</v>
      </c>
      <c r="N34" s="106">
        <f>I34/H34-1</f>
        <v>0</v>
      </c>
      <c r="O34" s="106">
        <f>J34/I34-1</f>
        <v>0</v>
      </c>
      <c r="P34" s="106">
        <f>K34/J34-1</f>
        <v>0</v>
      </c>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row>
    <row r="35" spans="1:39" ht="25" customHeight="1" x14ac:dyDescent="0.35">
      <c r="A35" s="124" t="s">
        <v>31</v>
      </c>
      <c r="B35" s="124"/>
      <c r="C35" s="126">
        <f>C34/B34-1</f>
        <v>0.14289261591956293</v>
      </c>
      <c r="D35" s="126">
        <f t="shared" ref="D35:F35" si="14">D34/C34-1</f>
        <v>-7.2641780870423833E-3</v>
      </c>
      <c r="E35" s="126">
        <f t="shared" si="14"/>
        <v>8.9612499790254763E-2</v>
      </c>
      <c r="F35" s="126">
        <f t="shared" si="14"/>
        <v>-7.7318581722184643E-2</v>
      </c>
      <c r="G35" s="127">
        <f>$N$41</f>
        <v>3.6980588975147666E-2</v>
      </c>
      <c r="H35" s="127">
        <f>$N$41</f>
        <v>3.6980588975147666E-2</v>
      </c>
      <c r="I35" s="127">
        <f>$N$41</f>
        <v>3.6980588975147666E-2</v>
      </c>
      <c r="J35" s="127">
        <f>$N$41</f>
        <v>3.6980588975147666E-2</v>
      </c>
      <c r="K35" s="127">
        <f>$N$41</f>
        <v>3.6980588975147666E-2</v>
      </c>
      <c r="M35" s="107"/>
      <c r="N35" s="107">
        <f>SUM(L34:P34)/5</f>
        <v>-1.7170152761568636E-3</v>
      </c>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row>
    <row r="36" spans="1:39" ht="25" customHeight="1" x14ac:dyDescent="0.35">
      <c r="A36" s="124" t="s">
        <v>106</v>
      </c>
      <c r="B36" s="126">
        <f t="shared" ref="B36:K36" si="15">B34/B3</f>
        <v>7.5000000000000108E-2</v>
      </c>
      <c r="C36" s="126">
        <f t="shared" si="15"/>
        <v>8.0000000000000016E-2</v>
      </c>
      <c r="D36" s="126">
        <f t="shared" si="15"/>
        <v>7.500000000000008E-2</v>
      </c>
      <c r="E36" s="126">
        <f t="shared" si="15"/>
        <v>7.999999999999996E-2</v>
      </c>
      <c r="F36" s="126">
        <f t="shared" si="15"/>
        <v>7.5000000000000303E-2</v>
      </c>
      <c r="G36" s="126">
        <f t="shared" si="15"/>
        <v>7.3653320650334531E-2</v>
      </c>
      <c r="H36" s="126">
        <f t="shared" si="15"/>
        <v>7.2817121221623704E-2</v>
      </c>
      <c r="I36" s="126">
        <f t="shared" si="15"/>
        <v>7.1901124641506803E-2</v>
      </c>
      <c r="J36" s="126">
        <f t="shared" si="15"/>
        <v>7.09107477139653E-2</v>
      </c>
      <c r="K36" s="126">
        <f t="shared" si="15"/>
        <v>6.9851205719995479E-2</v>
      </c>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row>
    <row r="37" spans="1:39" ht="25" customHeight="1" x14ac:dyDescent="0.35">
      <c r="A37" s="124"/>
      <c r="B37" s="124"/>
      <c r="C37" s="124"/>
      <c r="D37" s="124"/>
      <c r="E37" s="124"/>
      <c r="F37" s="124"/>
      <c r="G37" s="124">
        <f>G34/G3</f>
        <v>7.3653320650334531E-2</v>
      </c>
      <c r="H37" s="124"/>
      <c r="I37" s="124"/>
      <c r="J37" s="124"/>
      <c r="K37" s="124"/>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row>
    <row r="38" spans="1:39" ht="25" customHeight="1" x14ac:dyDescent="0.35">
      <c r="A38" s="124" t="s">
        <v>99</v>
      </c>
      <c r="B38" s="124"/>
      <c r="C38" s="124"/>
      <c r="D38" s="124"/>
      <c r="E38" s="124"/>
      <c r="F38" s="124"/>
      <c r="G38" s="124"/>
      <c r="H38" s="124"/>
      <c r="I38" s="124"/>
      <c r="J38" s="124"/>
      <c r="K38" s="124"/>
      <c r="M38" s="107"/>
      <c r="N38" s="107">
        <v>6</v>
      </c>
      <c r="O38" s="107">
        <v>6</v>
      </c>
      <c r="P38" s="107">
        <v>5</v>
      </c>
      <c r="Q38" s="107">
        <v>5</v>
      </c>
      <c r="R38" s="107"/>
      <c r="S38" s="107"/>
      <c r="T38" s="107"/>
      <c r="U38" s="107"/>
      <c r="V38" s="107"/>
      <c r="W38" s="107"/>
      <c r="X38" s="107"/>
      <c r="Y38" s="107"/>
      <c r="Z38" s="107"/>
      <c r="AA38" s="107"/>
      <c r="AB38" s="107"/>
      <c r="AC38" s="107"/>
      <c r="AD38" s="107"/>
      <c r="AE38" s="107"/>
      <c r="AF38" s="107"/>
      <c r="AG38" s="107"/>
      <c r="AH38" s="107"/>
      <c r="AI38" s="107"/>
      <c r="AJ38" s="107"/>
      <c r="AK38" s="107"/>
      <c r="AL38" s="107"/>
      <c r="AM38" s="107"/>
    </row>
    <row r="39" spans="1:39" ht="25" customHeight="1" x14ac:dyDescent="0.35">
      <c r="A39" s="124" t="s">
        <v>46</v>
      </c>
      <c r="B39" s="124"/>
      <c r="C39" s="124"/>
      <c r="D39" s="124"/>
      <c r="E39" s="124"/>
      <c r="F39" s="124"/>
      <c r="G39" s="124"/>
      <c r="H39" s="124"/>
      <c r="I39" s="124"/>
      <c r="J39" s="124"/>
      <c r="K39" s="124"/>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row>
    <row r="40" spans="1:39" ht="25" customHeight="1" x14ac:dyDescent="0.35">
      <c r="A40" s="124" t="s">
        <v>31</v>
      </c>
      <c r="B40" s="124">
        <v>0.29294605469959611</v>
      </c>
      <c r="C40" s="124">
        <v>0.46767245030794435</v>
      </c>
      <c r="D40" s="124">
        <v>0.38837263194877414</v>
      </c>
      <c r="E40" s="124">
        <v>0.22814292905550637</v>
      </c>
      <c r="F40" s="124">
        <v>0.16516446378516569</v>
      </c>
      <c r="G40" s="124">
        <v>0.13016181430325835</v>
      </c>
      <c r="H40" s="124">
        <v>0.13834016426982099</v>
      </c>
      <c r="I40" s="124">
        <v>0.13991989776854696</v>
      </c>
      <c r="J40" s="124">
        <v>0.14143585710350903</v>
      </c>
      <c r="K40" s="124">
        <v>0.14288836597784571</v>
      </c>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row>
    <row r="41" spans="1:39" ht="25" customHeight="1" x14ac:dyDescent="0.35">
      <c r="A41" s="124" t="s">
        <v>108</v>
      </c>
      <c r="B41" s="124"/>
      <c r="C41" s="124">
        <v>10403882.129133433</v>
      </c>
      <c r="D41" s="124">
        <v>15039306</v>
      </c>
      <c r="E41" s="124">
        <v>17484830</v>
      </c>
      <c r="F41" s="124">
        <v>19765793.68</v>
      </c>
      <c r="G41" s="124">
        <v>22668451.129999999</v>
      </c>
      <c r="H41" s="124">
        <v>25772649.271131713</v>
      </c>
      <c r="I41" s="124">
        <v>29223366.775900789</v>
      </c>
      <c r="J41" s="124">
        <v>33198954.446570478</v>
      </c>
      <c r="K41" s="124">
        <v>37782902.639362127</v>
      </c>
      <c r="M41" s="107"/>
      <c r="N41" s="106">
        <f>AVERAGE(C35:F35)</f>
        <v>3.6980588975147666E-2</v>
      </c>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row>
    <row r="42" spans="1:39" ht="25" customHeight="1" x14ac:dyDescent="0.35">
      <c r="A42" s="124" t="s">
        <v>109</v>
      </c>
      <c r="B42" s="124"/>
      <c r="C42" s="124">
        <v>5173657</v>
      </c>
      <c r="D42" s="124">
        <v>6588123</v>
      </c>
      <c r="E42" s="124">
        <v>9076744</v>
      </c>
      <c r="F42" s="124">
        <v>11182808.447000001</v>
      </c>
      <c r="G42" s="124">
        <v>12308477.199999999</v>
      </c>
      <c r="H42" s="124">
        <v>14042993.06969424</v>
      </c>
      <c r="I42" s="124">
        <v>16163276.170842566</v>
      </c>
      <c r="J42" s="124">
        <v>18606987.246396452</v>
      </c>
      <c r="K42" s="124">
        <v>21425505.410056397</v>
      </c>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row>
    <row r="43" spans="1:39" ht="25" customHeight="1" x14ac:dyDescent="0.35">
      <c r="A43" s="124" t="s">
        <v>110</v>
      </c>
      <c r="B43" s="124"/>
      <c r="C43" s="124">
        <v>0.33212286980066835</v>
      </c>
      <c r="D43" s="124">
        <v>0.30499999999999999</v>
      </c>
      <c r="E43" s="124">
        <v>0.34172462821668625</v>
      </c>
      <c r="F43" s="124">
        <v>0.36133484805260269</v>
      </c>
      <c r="G43" s="124">
        <v>0.35190274811647532</v>
      </c>
      <c r="H43" s="124">
        <v>0.35270040225609794</v>
      </c>
      <c r="I43" s="124">
        <v>0.35612407354755315</v>
      </c>
      <c r="J43" s="124">
        <v>0.35916704992397619</v>
      </c>
      <c r="K43" s="124">
        <v>0.36186592607207946</v>
      </c>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row>
    <row r="44" spans="1:39" ht="25" customHeight="1" x14ac:dyDescent="0.35">
      <c r="A44" s="124" t="s">
        <v>111</v>
      </c>
      <c r="B44" s="124"/>
      <c r="C44" s="124">
        <v>229178.69225299999</v>
      </c>
      <c r="D44" s="124">
        <v>337800.55106600001</v>
      </c>
      <c r="E44" s="124">
        <v>448558.61158399994</v>
      </c>
      <c r="F44" s="124">
        <v>698603.28799999994</v>
      </c>
      <c r="G44" s="124">
        <v>934201.69</v>
      </c>
      <c r="H44" s="124">
        <v>934447.92178417824</v>
      </c>
      <c r="I44" s="124">
        <v>934447.92178417824</v>
      </c>
      <c r="J44" s="124">
        <v>934447.92178417824</v>
      </c>
      <c r="K44" s="124">
        <v>934447.92178417824</v>
      </c>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row>
    <row r="45" spans="1:39" ht="25" customHeight="1" x14ac:dyDescent="0.35">
      <c r="A45" s="124" t="s">
        <v>112</v>
      </c>
      <c r="B45" s="124"/>
      <c r="C45" s="124">
        <v>0.34683499411973912</v>
      </c>
      <c r="D45" s="124">
        <v>0.32023795112521236</v>
      </c>
      <c r="E45" s="124">
        <v>0.35861212937094766</v>
      </c>
      <c r="F45" s="124">
        <v>0.38390786395597781</v>
      </c>
      <c r="G45" s="124">
        <v>0.37861183134945686</v>
      </c>
      <c r="H45" s="124">
        <v>0.3761697692396872</v>
      </c>
      <c r="I45" s="124">
        <v>0.37671268422934906</v>
      </c>
      <c r="J45" s="124">
        <v>0.37720451611506051</v>
      </c>
      <c r="K45" s="124">
        <v>0.37764827781178906</v>
      </c>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row>
    <row r="46" spans="1:39" ht="91.5" customHeight="1" x14ac:dyDescent="0.35">
      <c r="A46" s="124"/>
      <c r="B46" s="124"/>
      <c r="C46" s="124"/>
      <c r="D46" s="124"/>
      <c r="E46" s="124"/>
      <c r="F46" s="124"/>
      <c r="G46" s="124"/>
      <c r="H46" s="124"/>
      <c r="I46" s="124"/>
      <c r="J46" s="124"/>
      <c r="K46" s="124"/>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row>
    <row r="47" spans="1:39" ht="25" customHeight="1" x14ac:dyDescent="0.35">
      <c r="A47" s="124"/>
      <c r="B47" s="110">
        <v>2018</v>
      </c>
      <c r="C47" s="110">
        <v>2019</v>
      </c>
      <c r="D47" s="110">
        <v>2020</v>
      </c>
      <c r="E47" s="110">
        <v>2021</v>
      </c>
      <c r="F47" s="110">
        <v>2022</v>
      </c>
      <c r="G47" s="110" t="s">
        <v>50</v>
      </c>
      <c r="H47" s="110" t="s">
        <v>51</v>
      </c>
      <c r="I47" s="110" t="s">
        <v>52</v>
      </c>
      <c r="J47" s="110" t="s">
        <v>53</v>
      </c>
      <c r="K47" s="110" t="s">
        <v>54</v>
      </c>
      <c r="M47" s="106">
        <f>AVERAGE(D56:G56)</f>
        <v>0.14605321099031499</v>
      </c>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row>
    <row r="48" spans="1:39" ht="25" customHeight="1" x14ac:dyDescent="0.35">
      <c r="A48" s="114" t="s">
        <v>113</v>
      </c>
      <c r="B48" s="114">
        <f t="shared" ref="B48:K48" si="16">B51-B58+B62+B70-B77+B81+B85</f>
        <v>42378.753979909998</v>
      </c>
      <c r="C48" s="114">
        <f t="shared" si="16"/>
        <v>45758.074290750003</v>
      </c>
      <c r="D48" s="114">
        <f>D51-D58+D62+D70-D77+D81+D85</f>
        <v>34956.943557933002</v>
      </c>
      <c r="E48" s="114">
        <f t="shared" si="16"/>
        <v>50241.584443779007</v>
      </c>
      <c r="F48" s="114">
        <f t="shared" si="16"/>
        <v>51354.195901306994</v>
      </c>
      <c r="G48" s="114">
        <f t="shared" si="16"/>
        <v>49067.986032907793</v>
      </c>
      <c r="H48" s="114">
        <f t="shared" si="16"/>
        <v>49745.939876931443</v>
      </c>
      <c r="I48" s="114">
        <f t="shared" si="16"/>
        <v>50665.151857869918</v>
      </c>
      <c r="J48" s="114">
        <f t="shared" si="16"/>
        <v>51284.803720800359</v>
      </c>
      <c r="K48" s="114">
        <f t="shared" si="16"/>
        <v>51937.319563267723</v>
      </c>
      <c r="M48" s="107"/>
      <c r="N48" s="107">
        <f>O49/N49-1</f>
        <v>8.6546586209067522E-2</v>
      </c>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row>
    <row r="49" spans="1:39" ht="25" customHeight="1" x14ac:dyDescent="0.35">
      <c r="A49" s="143"/>
      <c r="B49" s="431" t="s">
        <v>23</v>
      </c>
      <c r="C49" s="431"/>
      <c r="D49" s="431"/>
      <c r="E49" s="431"/>
      <c r="F49" s="431"/>
      <c r="G49" s="431" t="s">
        <v>24</v>
      </c>
      <c r="H49" s="431"/>
      <c r="I49" s="431"/>
      <c r="J49" s="431"/>
      <c r="K49" s="431"/>
      <c r="M49" s="107"/>
      <c r="N49" s="38">
        <v>1103472820884</v>
      </c>
      <c r="O49" s="38">
        <v>1198974626506</v>
      </c>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row>
    <row r="50" spans="1:39" s="145" customFormat="1" ht="25" customHeight="1" x14ac:dyDescent="0.35">
      <c r="A50" s="429" t="s">
        <v>13</v>
      </c>
      <c r="B50" s="429"/>
      <c r="C50" s="429"/>
      <c r="D50" s="429"/>
      <c r="E50" s="429"/>
      <c r="F50" s="429"/>
      <c r="G50" s="429"/>
      <c r="H50" s="429"/>
      <c r="I50" s="429"/>
      <c r="J50" s="429"/>
      <c r="K50" s="429"/>
      <c r="L50" s="144"/>
      <c r="M50" s="145" t="s">
        <v>405</v>
      </c>
      <c r="N50" s="145" t="s">
        <v>63</v>
      </c>
    </row>
    <row r="51" spans="1:39" s="147" customFormat="1" ht="25" customHeight="1" x14ac:dyDescent="0.35">
      <c r="A51" s="120" t="s">
        <v>13</v>
      </c>
      <c r="B51" s="121">
        <f>B92/1000000000</f>
        <v>27950.543501501001</v>
      </c>
      <c r="C51" s="121">
        <f>C92/1000000000</f>
        <v>29745.906112117002</v>
      </c>
      <c r="D51" s="121">
        <f>D92/1000000000</f>
        <v>31967.662837839001</v>
      </c>
      <c r="E51" s="121">
        <f>E92/1000000000</f>
        <v>34640.863353838999</v>
      </c>
      <c r="F51" s="121">
        <f>F92/1000000000</f>
        <v>36059.015690710999</v>
      </c>
      <c r="G51" s="121">
        <f>G54*G3</f>
        <v>33484.800451572548</v>
      </c>
      <c r="H51" s="121">
        <f>H54*H3</f>
        <v>33869.325004841849</v>
      </c>
      <c r="I51" s="121">
        <f>I54*I3</f>
        <v>34300.809018895685</v>
      </c>
      <c r="J51" s="121">
        <f>J54*J3</f>
        <v>34779.87222078647</v>
      </c>
      <c r="K51" s="121">
        <f>K54*K3</f>
        <v>35307.432694267009</v>
      </c>
      <c r="L51" s="106"/>
      <c r="M51" s="146" t="s">
        <v>406</v>
      </c>
      <c r="N51" s="146">
        <v>2022</v>
      </c>
      <c r="O51" s="146">
        <v>2023</v>
      </c>
      <c r="P51" s="146" t="s">
        <v>64</v>
      </c>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row>
    <row r="52" spans="1:39" s="147" customFormat="1" ht="25" customHeight="1" x14ac:dyDescent="0.35">
      <c r="A52" s="124" t="s">
        <v>31</v>
      </c>
      <c r="B52" s="127">
        <f>AVERAGE(C52:F52)</f>
        <v>6.5871364303245861E-2</v>
      </c>
      <c r="C52" s="126">
        <f>C51/B51-1</f>
        <v>6.4233549180164884E-2</v>
      </c>
      <c r="D52" s="126">
        <f t="shared" ref="D52:F52" si="17">D51/C51-1</f>
        <v>7.4691176572259987E-2</v>
      </c>
      <c r="E52" s="126">
        <f t="shared" si="17"/>
        <v>8.3622019212359344E-2</v>
      </c>
      <c r="F52" s="126">
        <f t="shared" si="17"/>
        <v>4.0938712248199227E-2</v>
      </c>
      <c r="G52" s="126">
        <f>(1+G53)*(1+G56)-1</f>
        <v>-0.14514944281476139</v>
      </c>
      <c r="H52" s="126">
        <f>(1+H53)*(1+H56)-1</f>
        <v>-8.3922208424255795E-2</v>
      </c>
      <c r="I52" s="126">
        <f>(1+I53)*(1+I56)-1</f>
        <v>5.7683075086656821E-2</v>
      </c>
      <c r="J52" s="126">
        <f>(1+J53)*(1+J56)-1</f>
        <v>3.1652014948513774E-2</v>
      </c>
      <c r="K52" s="126">
        <f>(1+K53)*(1+K56)-1</f>
        <v>3.1652014948513774E-2</v>
      </c>
      <c r="L52" s="106"/>
      <c r="M52" s="146"/>
      <c r="N52" s="146">
        <v>9729311781833</v>
      </c>
      <c r="O52" s="146">
        <v>9082087041037</v>
      </c>
      <c r="P52" s="148">
        <f>O52/N52-1</f>
        <v>-6.6523178135222905E-2</v>
      </c>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row>
    <row r="53" spans="1:39" s="147" customFormat="1" ht="25" customHeight="1" x14ac:dyDescent="0.35">
      <c r="A53" s="124" t="s">
        <v>114</v>
      </c>
      <c r="B53" s="124"/>
      <c r="C53" s="126">
        <f>C54/B54-1</f>
        <v>-6.7461836338124082E-3</v>
      </c>
      <c r="D53" s="126">
        <f t="shared" ref="D53:E53" si="18">D54/C54-1</f>
        <v>1.4895358661524583E-2</v>
      </c>
      <c r="E53" s="126">
        <f t="shared" si="18"/>
        <v>6.0802337879150903E-2</v>
      </c>
      <c r="F53" s="126">
        <f>F54/E54-1</f>
        <v>5.7656546887191906E-2</v>
      </c>
      <c r="G53" s="126">
        <f>$M$53</f>
        <v>3.1652014948513746E-2</v>
      </c>
      <c r="H53" s="126">
        <f>$M$53</f>
        <v>3.1652014948513746E-2</v>
      </c>
      <c r="I53" s="126">
        <f>$M$53</f>
        <v>3.1652014948513746E-2</v>
      </c>
      <c r="J53" s="126">
        <f>$M$53</f>
        <v>3.1652014948513746E-2</v>
      </c>
      <c r="K53" s="126">
        <f>$M$53</f>
        <v>3.1652014948513746E-2</v>
      </c>
      <c r="L53" s="106"/>
      <c r="M53" s="149">
        <f>AVERAGE(C53:F53)</f>
        <v>3.1652014948513746E-2</v>
      </c>
      <c r="N53" s="146">
        <v>16094113384043</v>
      </c>
      <c r="O53" s="146">
        <v>15681494654705</v>
      </c>
      <c r="P53" s="148">
        <f>O53/N53-1</f>
        <v>-2.5637866435507028E-2</v>
      </c>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row>
    <row r="54" spans="1:39" s="147" customFormat="1" ht="25" customHeight="1" x14ac:dyDescent="0.35">
      <c r="A54" s="124" t="s">
        <v>115</v>
      </c>
      <c r="B54" s="126">
        <f>B51/B3</f>
        <v>0.53176382347879025</v>
      </c>
      <c r="C54" s="126">
        <f>C51/C3</f>
        <v>0.52817644707578415</v>
      </c>
      <c r="D54" s="126">
        <f>D51/D3</f>
        <v>0.53604382469154777</v>
      </c>
      <c r="E54" s="126">
        <f>E51/E3</f>
        <v>0.56863654243847561</v>
      </c>
      <c r="F54" s="126">
        <f>F51/F3</f>
        <v>0.60142216190935027</v>
      </c>
      <c r="G54" s="127">
        <f>AVERAGE($B$54:$F$54)</f>
        <v>0.55320855991878959</v>
      </c>
      <c r="H54" s="127">
        <f>AVERAGE($B$54:$F$54)</f>
        <v>0.55320855991878959</v>
      </c>
      <c r="I54" s="127">
        <f>AVERAGE($B$54:$F$54)</f>
        <v>0.55320855991878959</v>
      </c>
      <c r="J54" s="127">
        <f>AVERAGE($B$54:$F$54)</f>
        <v>0.55320855991878959</v>
      </c>
      <c r="K54" s="127">
        <f>AVERAGE($B$54:$F$54)</f>
        <v>0.55320855991878959</v>
      </c>
      <c r="L54" s="106"/>
      <c r="M54" s="150" t="s">
        <v>407</v>
      </c>
      <c r="N54" s="151">
        <f>N52/N53</f>
        <v>0.60452611148368218</v>
      </c>
      <c r="O54" s="151">
        <f>O52/O53</f>
        <v>0.5791595279032955</v>
      </c>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row>
    <row r="55" spans="1:39" s="147" customFormat="1" ht="25" customHeight="1" x14ac:dyDescent="0.35">
      <c r="A55" s="124" t="s">
        <v>116</v>
      </c>
      <c r="B55" s="124"/>
      <c r="C55" s="124">
        <v>1.879</v>
      </c>
      <c r="D55" s="124">
        <v>2.492</v>
      </c>
      <c r="E55" s="124">
        <v>2.0920000000000001</v>
      </c>
      <c r="F55" s="124">
        <v>3.3260000000000001</v>
      </c>
      <c r="G55" s="124">
        <v>2.7559999999999998</v>
      </c>
      <c r="H55" s="152">
        <f>AVERAGE($C$55:$F$55)</f>
        <v>2.4472500000000004</v>
      </c>
      <c r="I55" s="124">
        <f t="shared" ref="I55:K55" si="19">AVERAGE($C$55:$G$55)</f>
        <v>2.5090000000000003</v>
      </c>
      <c r="J55" s="124">
        <f t="shared" si="19"/>
        <v>2.5090000000000003</v>
      </c>
      <c r="K55" s="124">
        <f t="shared" si="19"/>
        <v>2.5090000000000003</v>
      </c>
      <c r="L55" s="106"/>
      <c r="M55" s="146" t="s">
        <v>408</v>
      </c>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row>
    <row r="56" spans="1:39" s="147" customFormat="1" ht="25" customHeight="1" x14ac:dyDescent="0.35">
      <c r="A56" s="124" t="s">
        <v>117</v>
      </c>
      <c r="B56" s="124"/>
      <c r="C56" s="127">
        <f>AVERAGE(D56:E56)</f>
        <v>8.2861858319159931E-2</v>
      </c>
      <c r="D56" s="126">
        <f>D55/C55-1</f>
        <v>0.32623736029803085</v>
      </c>
      <c r="E56" s="126">
        <f t="shared" ref="E56:F56" si="20">E55/D55-1</f>
        <v>-0.16051364365971099</v>
      </c>
      <c r="F56" s="126">
        <f t="shared" si="20"/>
        <v>0.58986615678776277</v>
      </c>
      <c r="G56" s="126">
        <f>G55/F55-1</f>
        <v>-0.17137702946482269</v>
      </c>
      <c r="H56" s="126">
        <f>H55/G55-1</f>
        <v>-0.11202830188679225</v>
      </c>
      <c r="I56" s="126">
        <f>I55/H55-1</f>
        <v>2.5232403718459473E-2</v>
      </c>
      <c r="J56" s="126">
        <f t="shared" ref="J56:K56" si="21">J55/I55-1</f>
        <v>0</v>
      </c>
      <c r="K56" s="126">
        <f t="shared" si="21"/>
        <v>0</v>
      </c>
      <c r="L56" s="106"/>
      <c r="M56" s="149">
        <f>AVERAGE(D56:F56)</f>
        <v>0.25186329114202755</v>
      </c>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row>
    <row r="57" spans="1:39" s="145" customFormat="1" ht="25" customHeight="1" x14ac:dyDescent="0.35">
      <c r="A57" s="429" t="s">
        <v>118</v>
      </c>
      <c r="B57" s="429"/>
      <c r="C57" s="429"/>
      <c r="D57" s="429"/>
      <c r="E57" s="429"/>
      <c r="F57" s="429"/>
      <c r="G57" s="429"/>
      <c r="H57" s="429"/>
      <c r="I57" s="429"/>
      <c r="J57" s="429"/>
      <c r="K57" s="429"/>
      <c r="L57" s="144"/>
      <c r="M57" s="153">
        <v>36059015690711</v>
      </c>
      <c r="N57" s="145" t="s">
        <v>409</v>
      </c>
    </row>
    <row r="58" spans="1:39" s="147" customFormat="1" ht="25" customHeight="1" x14ac:dyDescent="0.35">
      <c r="A58" s="121" t="s">
        <v>119</v>
      </c>
      <c r="B58" s="121">
        <f>B60/1000000000</f>
        <v>759.91739100100006</v>
      </c>
      <c r="C58" s="121">
        <f t="shared" ref="C58:F58" si="22">C60/1000000000</f>
        <v>807.31670748299996</v>
      </c>
      <c r="D58" s="121">
        <f t="shared" si="22"/>
        <v>1581.092655317</v>
      </c>
      <c r="E58" s="121">
        <f t="shared" si="22"/>
        <v>1214.683819394</v>
      </c>
      <c r="F58" s="121">
        <f t="shared" si="22"/>
        <v>1379.9044077399999</v>
      </c>
      <c r="G58" s="121">
        <f>F58*(1+2%)</f>
        <v>1407.5024958947999</v>
      </c>
      <c r="H58" s="121">
        <f>G58*(1+2%)</f>
        <v>1435.652545812696</v>
      </c>
      <c r="I58" s="121">
        <f t="shared" ref="I58:K58" si="23">AVERAGE($B$58:$F$58)</f>
        <v>1148.5829961869999</v>
      </c>
      <c r="J58" s="121">
        <f t="shared" si="23"/>
        <v>1148.5829961869999</v>
      </c>
      <c r="K58" s="121">
        <f t="shared" si="23"/>
        <v>1148.5829961869999</v>
      </c>
      <c r="L58" s="106"/>
      <c r="M58" s="154">
        <v>1379904407740</v>
      </c>
      <c r="N58" s="145" t="s">
        <v>187</v>
      </c>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row>
    <row r="59" spans="1:39" s="147" customFormat="1" ht="25" customHeight="1" x14ac:dyDescent="0.35">
      <c r="A59" s="124" t="s">
        <v>31</v>
      </c>
      <c r="B59" s="124"/>
      <c r="C59" s="130">
        <f>C58/B58-1</f>
        <v>6.2374301527121645E-2</v>
      </c>
      <c r="D59" s="130">
        <f t="shared" ref="D59:F59" si="24">D58/C58-1</f>
        <v>0.95845402512036304</v>
      </c>
      <c r="E59" s="130">
        <f t="shared" si="24"/>
        <v>-0.2317440630002402</v>
      </c>
      <c r="F59" s="130">
        <f t="shared" si="24"/>
        <v>0.1360194197930682</v>
      </c>
      <c r="G59" s="155">
        <f>G58/F58-1</f>
        <v>2.0000000000000018E-2</v>
      </c>
      <c r="H59" s="155">
        <f t="shared" ref="H59:J59" si="25">H58/G58-1</f>
        <v>2.0000000000000018E-2</v>
      </c>
      <c r="I59" s="155">
        <f t="shared" si="25"/>
        <v>-0.19995753879514866</v>
      </c>
      <c r="J59" s="155">
        <f t="shared" si="25"/>
        <v>0</v>
      </c>
      <c r="K59" s="155">
        <f>K58/J58-1</f>
        <v>0</v>
      </c>
      <c r="L59" s="106"/>
      <c r="M59" s="154">
        <v>617537182995</v>
      </c>
      <c r="N59" s="145" t="s">
        <v>188</v>
      </c>
      <c r="O59" s="146"/>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6"/>
      <c r="AM59" s="146"/>
    </row>
    <row r="60" spans="1:39" s="145" customFormat="1" ht="25" customHeight="1" x14ac:dyDescent="0.35">
      <c r="A60" s="124" t="s">
        <v>118</v>
      </c>
      <c r="B60" s="156">
        <v>759917391001</v>
      </c>
      <c r="C60" s="156">
        <v>807316707483</v>
      </c>
      <c r="D60" s="156">
        <v>1581092655317</v>
      </c>
      <c r="E60" s="156">
        <v>1214683819394</v>
      </c>
      <c r="F60" s="156">
        <v>1379904407740</v>
      </c>
      <c r="G60" s="124"/>
      <c r="H60" s="124"/>
      <c r="I60" s="124"/>
      <c r="J60" s="124"/>
      <c r="K60" s="124"/>
      <c r="L60" s="144"/>
      <c r="M60" s="157">
        <v>12548212246871</v>
      </c>
      <c r="N60" s="145" t="s">
        <v>186</v>
      </c>
    </row>
    <row r="61" spans="1:39" s="147" customFormat="1" ht="25" customHeight="1" x14ac:dyDescent="0.35">
      <c r="A61" s="429" t="s">
        <v>120</v>
      </c>
      <c r="B61" s="429"/>
      <c r="C61" s="429"/>
      <c r="D61" s="429"/>
      <c r="E61" s="429"/>
      <c r="F61" s="429"/>
      <c r="G61" s="429"/>
      <c r="H61" s="429"/>
      <c r="I61" s="429"/>
      <c r="J61" s="429"/>
      <c r="K61" s="429"/>
      <c r="L61" s="106"/>
      <c r="M61" s="154">
        <v>1595845681078</v>
      </c>
      <c r="N61" s="145" t="s">
        <v>189</v>
      </c>
      <c r="O61" s="146"/>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6"/>
      <c r="AM61" s="146"/>
    </row>
    <row r="62" spans="1:39" s="147" customFormat="1" ht="25" customHeight="1" x14ac:dyDescent="0.35">
      <c r="A62" s="158" t="s">
        <v>121</v>
      </c>
      <c r="B62" s="158">
        <f>B63/1000000000</f>
        <v>118.00700167399999</v>
      </c>
      <c r="C62" s="158">
        <f t="shared" ref="C62:F62" si="26">C63/1000000000</f>
        <v>186.96968182800001</v>
      </c>
      <c r="D62" s="158">
        <f t="shared" si="26"/>
        <v>308.56932883500002</v>
      </c>
      <c r="E62" s="158">
        <f t="shared" si="26"/>
        <v>202.338232232</v>
      </c>
      <c r="F62" s="158">
        <f t="shared" si="26"/>
        <v>617.53718299499997</v>
      </c>
      <c r="G62" s="158">
        <f>F62*(1+2%)</f>
        <v>629.88792665489996</v>
      </c>
      <c r="H62" s="158">
        <f>G62*(1+2%)</f>
        <v>642.485685187998</v>
      </c>
      <c r="I62" s="158">
        <f>H62*(1+I64)</f>
        <v>528.32539595412311</v>
      </c>
      <c r="J62" s="158">
        <f t="shared" ref="J62" si="27">I62*(1+J64)</f>
        <v>348.1479224452595</v>
      </c>
      <c r="K62" s="158">
        <f>J62*(1+K64)</f>
        <v>146.27734018564536</v>
      </c>
      <c r="L62" s="106"/>
      <c r="M62" s="154">
        <v>289021799127</v>
      </c>
      <c r="N62" s="145" t="s">
        <v>190</v>
      </c>
      <c r="O62" s="146"/>
      <c r="P62" s="146"/>
      <c r="Q62" s="146"/>
      <c r="R62" s="146"/>
      <c r="S62" s="146"/>
      <c r="T62" s="146"/>
      <c r="U62" s="146"/>
      <c r="V62" s="146"/>
      <c r="W62" s="146"/>
      <c r="X62" s="146"/>
      <c r="Y62" s="146"/>
      <c r="Z62" s="146"/>
      <c r="AA62" s="146"/>
      <c r="AB62" s="146"/>
      <c r="AC62" s="146"/>
      <c r="AD62" s="146"/>
      <c r="AE62" s="146"/>
      <c r="AF62" s="146"/>
      <c r="AG62" s="146"/>
      <c r="AH62" s="146"/>
      <c r="AI62" s="146"/>
      <c r="AJ62" s="146"/>
      <c r="AK62" s="146"/>
      <c r="AL62" s="146"/>
      <c r="AM62" s="146"/>
    </row>
    <row r="63" spans="1:39" s="147" customFormat="1" ht="25" customHeight="1" x14ac:dyDescent="0.35">
      <c r="A63" s="124"/>
      <c r="B63" s="156">
        <v>118007001674</v>
      </c>
      <c r="C63" s="156">
        <v>186969681828</v>
      </c>
      <c r="D63" s="156">
        <v>308569328835</v>
      </c>
      <c r="E63" s="156">
        <v>202338232232</v>
      </c>
      <c r="F63" s="156">
        <v>617537182995</v>
      </c>
      <c r="G63" s="124"/>
      <c r="H63" s="126"/>
      <c r="I63" s="124"/>
      <c r="J63" s="124"/>
      <c r="K63" s="124"/>
      <c r="L63" s="106"/>
      <c r="M63" s="154">
        <v>284551949482</v>
      </c>
      <c r="N63" s="145" t="s">
        <v>191</v>
      </c>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6"/>
      <c r="AM63" s="146"/>
    </row>
    <row r="64" spans="1:39" s="147" customFormat="1" ht="25" customHeight="1" x14ac:dyDescent="0.35">
      <c r="A64" s="124" t="s">
        <v>31</v>
      </c>
      <c r="B64" s="124"/>
      <c r="C64" s="159">
        <f>C63/B63-1</f>
        <v>0.58439481705087903</v>
      </c>
      <c r="D64" s="159">
        <f t="shared" ref="D64:F64" si="28">D63/C63-1</f>
        <v>0.65037093617597219</v>
      </c>
      <c r="E64" s="159">
        <f t="shared" si="28"/>
        <v>-0.34426978534799391</v>
      </c>
      <c r="F64" s="159">
        <f t="shared" si="28"/>
        <v>2.0520044392151009</v>
      </c>
      <c r="G64" s="130">
        <f>(1+G66)*(1+G68)-1</f>
        <v>-1.7121362930883066E-3</v>
      </c>
      <c r="H64" s="130">
        <f t="shared" ref="H64:K64" si="29">(1+H66)*(1+H68)-1</f>
        <v>-1.7121362930883066E-3</v>
      </c>
      <c r="I64" s="130">
        <f t="shared" si="29"/>
        <v>-0.17768534282669723</v>
      </c>
      <c r="J64" s="130">
        <f>(1+J66)*(1+J68)-1</f>
        <v>-0.34103504182961752</v>
      </c>
      <c r="K64" s="130">
        <f t="shared" si="29"/>
        <v>-0.5798414100585505</v>
      </c>
      <c r="L64" s="106"/>
      <c r="M64" s="154">
        <v>1917959357037</v>
      </c>
      <c r="N64" s="146" t="s">
        <v>192</v>
      </c>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row>
    <row r="65" spans="1:39" s="147" customFormat="1" ht="25" customHeight="1" x14ac:dyDescent="0.35">
      <c r="A65" s="124" t="s">
        <v>122</v>
      </c>
      <c r="B65" s="160">
        <f>B90/1000000000</f>
        <v>51.367418852</v>
      </c>
      <c r="C65" s="160">
        <f>C90/1000000000</f>
        <v>108.824893987</v>
      </c>
      <c r="D65" s="160">
        <f>D90/1000000000</f>
        <v>143.81846517700001</v>
      </c>
      <c r="E65" s="160">
        <f>E90/1000000000</f>
        <v>88.799090663000001</v>
      </c>
      <c r="F65" s="160">
        <f>F90/1000000000</f>
        <v>166.03909174399999</v>
      </c>
      <c r="G65" s="124"/>
      <c r="H65" s="124"/>
      <c r="I65" s="124"/>
      <c r="J65" s="124"/>
      <c r="K65" s="124"/>
      <c r="L65" s="106"/>
      <c r="M65" s="146"/>
      <c r="N65" s="161">
        <f>SUM(M57,M59:M61,M63:M64)-M58-M62</f>
        <v>51354195901307</v>
      </c>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6"/>
      <c r="AM65" s="146"/>
    </row>
    <row r="66" spans="1:39" s="147" customFormat="1" ht="25" customHeight="1" x14ac:dyDescent="0.35">
      <c r="A66" s="124"/>
      <c r="B66" s="160"/>
      <c r="C66" s="126">
        <f>C65/B65-1</f>
        <v>1.1185587366292764</v>
      </c>
      <c r="D66" s="126">
        <f t="shared" ref="D66:F66" si="30">D65/C65-1</f>
        <v>0.32155851393873425</v>
      </c>
      <c r="E66" s="126">
        <f t="shared" si="30"/>
        <v>-0.38256126879317376</v>
      </c>
      <c r="F66" s="126">
        <f t="shared" si="30"/>
        <v>0.86982873928441751</v>
      </c>
      <c r="G66" s="127">
        <f>AVERAGE($C$66:$E$66)</f>
        <v>0.35251866059161224</v>
      </c>
      <c r="H66" s="127">
        <f>AVERAGE($C$66:$E$66)</f>
        <v>0.35251866059161224</v>
      </c>
      <c r="I66" s="126">
        <f>H66*(1-H66)</f>
        <v>0.22824925452630795</v>
      </c>
      <c r="J66" s="126">
        <f t="shared" ref="J66:K68" si="31">I66*(1-I66)</f>
        <v>0.17615153233449266</v>
      </c>
      <c r="K66" s="126">
        <f t="shared" si="31"/>
        <v>0.14512216999070285</v>
      </c>
      <c r="L66" s="106">
        <f>(1+G66)*(1+G68)-1</f>
        <v>-1.7121362930883066E-3</v>
      </c>
      <c r="M66" s="149">
        <f>AVERAGE($C$66:$F$66)</f>
        <v>0.48184618026481357</v>
      </c>
      <c r="N66" s="162">
        <f>F3*1000000000</f>
        <v>59956247000000</v>
      </c>
      <c r="O66" s="146"/>
      <c r="P66" s="146"/>
      <c r="Q66" s="146"/>
      <c r="R66" s="146"/>
      <c r="S66" s="146"/>
      <c r="T66" s="146"/>
      <c r="U66" s="146"/>
      <c r="V66" s="146"/>
      <c r="W66" s="146"/>
      <c r="X66" s="146"/>
      <c r="Y66" s="146"/>
      <c r="Z66" s="146"/>
      <c r="AA66" s="146"/>
      <c r="AB66" s="146"/>
      <c r="AC66" s="146"/>
      <c r="AD66" s="146"/>
      <c r="AE66" s="146"/>
      <c r="AF66" s="146"/>
      <c r="AG66" s="146"/>
      <c r="AH66" s="146"/>
      <c r="AI66" s="146"/>
      <c r="AJ66" s="146"/>
      <c r="AK66" s="146"/>
      <c r="AL66" s="146"/>
      <c r="AM66" s="146"/>
    </row>
    <row r="67" spans="1:39" s="147" customFormat="1" ht="25" customHeight="1" x14ac:dyDescent="0.35">
      <c r="A67" s="124" t="s">
        <v>123</v>
      </c>
      <c r="B67" s="160">
        <f>B91/1000000000</f>
        <v>1.30984558</v>
      </c>
      <c r="C67" s="160">
        <f>C91/1000000000</f>
        <v>0.20915446700000001</v>
      </c>
      <c r="D67" s="160">
        <f>D91/1000000000</f>
        <v>0.21159963900000001</v>
      </c>
      <c r="E67" s="160">
        <f>E91/1000000000</f>
        <v>0.22068083299999999</v>
      </c>
      <c r="F67" s="160">
        <f>F91/1000000000</f>
        <v>0.84191704099999998</v>
      </c>
      <c r="G67" s="124"/>
      <c r="H67" s="124"/>
      <c r="I67" s="124"/>
      <c r="J67" s="124"/>
      <c r="K67" s="124"/>
      <c r="L67" s="106"/>
      <c r="M67" s="146"/>
      <c r="N67" s="162">
        <f>N66-N65</f>
        <v>8602051098693</v>
      </c>
      <c r="O67" s="146"/>
      <c r="P67" s="146"/>
      <c r="Q67" s="146"/>
      <c r="R67" s="146"/>
      <c r="S67" s="146"/>
      <c r="T67" s="146"/>
      <c r="U67" s="146"/>
      <c r="V67" s="146"/>
      <c r="W67" s="146"/>
      <c r="X67" s="146"/>
      <c r="Y67" s="146"/>
      <c r="Z67" s="146"/>
      <c r="AA67" s="146"/>
      <c r="AB67" s="146"/>
      <c r="AC67" s="146"/>
      <c r="AD67" s="146"/>
      <c r="AE67" s="146"/>
      <c r="AF67" s="146"/>
      <c r="AG67" s="146"/>
      <c r="AH67" s="146"/>
      <c r="AI67" s="146"/>
      <c r="AJ67" s="146"/>
      <c r="AK67" s="146"/>
      <c r="AL67" s="146"/>
      <c r="AM67" s="146"/>
    </row>
    <row r="68" spans="1:39" s="164" customFormat="1" ht="25" customHeight="1" x14ac:dyDescent="0.35">
      <c r="A68" s="124"/>
      <c r="B68" s="124"/>
      <c r="C68" s="126">
        <f>C67/B67-1</f>
        <v>-0.84032127894037711</v>
      </c>
      <c r="D68" s="126">
        <f t="shared" ref="D68:F68" si="32">D67/C67-1</f>
        <v>1.1690747202640406E-2</v>
      </c>
      <c r="E68" s="126">
        <f t="shared" si="32"/>
        <v>4.2916869059497653E-2</v>
      </c>
      <c r="F68" s="126">
        <f t="shared" si="32"/>
        <v>2.8150891020064259</v>
      </c>
      <c r="G68" s="127">
        <f>AVERAGE($C$68:$E$68)</f>
        <v>-0.26190455422607967</v>
      </c>
      <c r="H68" s="127">
        <f>AVERAGE($C$68:$E$68)</f>
        <v>-0.26190455422607967</v>
      </c>
      <c r="I68" s="126">
        <f>H68*(1-H68)</f>
        <v>-0.33049854975044118</v>
      </c>
      <c r="J68" s="126">
        <f t="shared" si="31"/>
        <v>-0.43972784113758601</v>
      </c>
      <c r="K68" s="126">
        <f t="shared" si="31"/>
        <v>-0.6330884154091081</v>
      </c>
      <c r="L68" s="163"/>
      <c r="M68" s="164" t="s">
        <v>410</v>
      </c>
      <c r="N68" s="164">
        <v>2022</v>
      </c>
      <c r="O68" s="164">
        <v>2023</v>
      </c>
    </row>
    <row r="69" spans="1:39" s="147" customFormat="1" ht="25" customHeight="1" x14ac:dyDescent="0.35">
      <c r="A69" s="429" t="s">
        <v>124</v>
      </c>
      <c r="B69" s="429"/>
      <c r="C69" s="429"/>
      <c r="D69" s="429"/>
      <c r="E69" s="429"/>
      <c r="F69" s="429"/>
      <c r="G69" s="429"/>
      <c r="H69" s="429"/>
      <c r="I69" s="429"/>
      <c r="J69" s="429"/>
      <c r="K69" s="429"/>
      <c r="L69" s="106"/>
      <c r="M69" s="146"/>
      <c r="N69" s="146">
        <v>112812544948</v>
      </c>
      <c r="O69" s="146">
        <v>257863234094</v>
      </c>
      <c r="P69" s="146"/>
      <c r="Q69" s="146"/>
      <c r="R69" s="146"/>
      <c r="S69" s="146"/>
      <c r="T69" s="146"/>
      <c r="U69" s="146"/>
      <c r="V69" s="146"/>
      <c r="W69" s="146"/>
      <c r="X69" s="146"/>
      <c r="Y69" s="146"/>
      <c r="Z69" s="146"/>
      <c r="AA69" s="146"/>
      <c r="AB69" s="146"/>
      <c r="AC69" s="146"/>
      <c r="AD69" s="146"/>
      <c r="AE69" s="146"/>
      <c r="AF69" s="146"/>
      <c r="AG69" s="146"/>
      <c r="AH69" s="146"/>
      <c r="AI69" s="146"/>
      <c r="AJ69" s="146"/>
      <c r="AK69" s="146"/>
      <c r="AL69" s="146"/>
      <c r="AM69" s="146"/>
    </row>
    <row r="70" spans="1:39" s="147" customFormat="1" ht="25" customHeight="1" x14ac:dyDescent="0.35">
      <c r="A70" s="121" t="s">
        <v>124</v>
      </c>
      <c r="B70" s="121">
        <f>SUM(B72:B73)/1000000000</f>
        <v>13399.237138222999</v>
      </c>
      <c r="C70" s="121">
        <f t="shared" ref="C70:F70" si="33">SUM(C72:C73)/1000000000</f>
        <v>14389.756969807</v>
      </c>
      <c r="D70" s="121">
        <f t="shared" si="33"/>
        <v>1958.1554562849999</v>
      </c>
      <c r="E70" s="121">
        <f t="shared" si="33"/>
        <v>14517.982829389</v>
      </c>
      <c r="F70" s="121">
        <f t="shared" si="33"/>
        <v>14144.057927948999</v>
      </c>
      <c r="G70" s="121">
        <f>F70*(1+$F$75)</f>
        <v>14413.165269087327</v>
      </c>
      <c r="H70" s="121">
        <f>G70*(1+$F$75)</f>
        <v>14687.392693968486</v>
      </c>
      <c r="I70" s="121">
        <f>H70*(1+$F$75)</f>
        <v>14966.837618208945</v>
      </c>
      <c r="J70" s="121">
        <f>I70*(1+$F$75)</f>
        <v>15251.599310871878</v>
      </c>
      <c r="K70" s="121">
        <f>J70*(1+$F$75)</f>
        <v>15541.778929731163</v>
      </c>
      <c r="L70" s="106"/>
      <c r="M70" s="146"/>
      <c r="N70" s="148">
        <f>O69/N69-1</f>
        <v>1.2857673693369822</v>
      </c>
      <c r="O70" s="146"/>
      <c r="P70" s="146"/>
      <c r="Q70" s="146"/>
      <c r="R70" s="146"/>
      <c r="S70" s="146"/>
      <c r="T70" s="146"/>
      <c r="U70" s="146"/>
      <c r="V70" s="146"/>
      <c r="W70" s="146"/>
      <c r="X70" s="146"/>
      <c r="Y70" s="146"/>
      <c r="Z70" s="146"/>
      <c r="AA70" s="146"/>
      <c r="AB70" s="146"/>
      <c r="AC70" s="146"/>
      <c r="AD70" s="146"/>
      <c r="AE70" s="146"/>
      <c r="AF70" s="146"/>
      <c r="AG70" s="146"/>
      <c r="AH70" s="146"/>
      <c r="AI70" s="146"/>
      <c r="AJ70" s="146"/>
      <c r="AK70" s="146"/>
      <c r="AL70" s="146"/>
      <c r="AM70" s="146"/>
    </row>
    <row r="71" spans="1:39" s="147" customFormat="1" ht="25" customHeight="1" x14ac:dyDescent="0.35">
      <c r="A71" s="124"/>
      <c r="B71" s="156"/>
      <c r="C71" s="159">
        <f>C70/B70-1</f>
        <v>7.3923598885970776E-2</v>
      </c>
      <c r="D71" s="159">
        <f t="shared" ref="D71:F71" si="34">D70/C70-1</f>
        <v>-0.8639201856991986</v>
      </c>
      <c r="E71" s="159">
        <f t="shared" si="34"/>
        <v>6.4141114704613011</v>
      </c>
      <c r="F71" s="159">
        <f t="shared" si="34"/>
        <v>-2.5755981794045035E-2</v>
      </c>
      <c r="G71" s="124"/>
      <c r="H71" s="124"/>
      <c r="I71" s="124"/>
      <c r="J71" s="124"/>
      <c r="K71" s="124"/>
      <c r="L71" s="106"/>
      <c r="M71" s="146"/>
      <c r="N71" s="146"/>
      <c r="O71" s="146"/>
      <c r="P71" s="146"/>
      <c r="Q71" s="146"/>
      <c r="R71" s="146"/>
      <c r="S71" s="146"/>
      <c r="T71" s="146"/>
      <c r="U71" s="146"/>
      <c r="V71" s="146"/>
      <c r="W71" s="146"/>
      <c r="X71" s="146"/>
      <c r="Y71" s="146"/>
      <c r="Z71" s="146"/>
      <c r="AA71" s="146"/>
      <c r="AB71" s="146"/>
      <c r="AC71" s="146"/>
      <c r="AD71" s="146"/>
      <c r="AE71" s="146"/>
      <c r="AF71" s="146"/>
      <c r="AG71" s="146"/>
      <c r="AH71" s="146"/>
      <c r="AI71" s="146"/>
      <c r="AJ71" s="146"/>
      <c r="AK71" s="146"/>
      <c r="AL71" s="146"/>
      <c r="AM71" s="146"/>
    </row>
    <row r="72" spans="1:39" s="147" customFormat="1" ht="25" customHeight="1" x14ac:dyDescent="0.35">
      <c r="A72" s="124" t="s">
        <v>125</v>
      </c>
      <c r="B72" s="156">
        <v>1133300231790</v>
      </c>
      <c r="C72" s="156">
        <v>1396302416955</v>
      </c>
      <c r="D72" s="156">
        <v>1958155456285</v>
      </c>
      <c r="E72" s="156">
        <v>1567312426985</v>
      </c>
      <c r="F72" s="156">
        <v>1595845681078</v>
      </c>
      <c r="G72" s="124"/>
      <c r="H72" s="124"/>
      <c r="I72" s="124"/>
      <c r="J72" s="124"/>
      <c r="K72" s="124"/>
      <c r="L72" s="106"/>
      <c r="M72" s="146"/>
      <c r="N72" s="146"/>
      <c r="O72" s="146"/>
      <c r="P72" s="146"/>
      <c r="Q72" s="146"/>
      <c r="R72" s="146"/>
      <c r="S72" s="146"/>
      <c r="T72" s="146"/>
      <c r="U72" s="146"/>
      <c r="V72" s="146"/>
      <c r="W72" s="146"/>
      <c r="X72" s="146"/>
      <c r="Y72" s="146"/>
      <c r="Z72" s="146"/>
      <c r="AA72" s="146"/>
      <c r="AB72" s="146"/>
      <c r="AC72" s="146"/>
      <c r="AD72" s="146"/>
      <c r="AE72" s="146"/>
      <c r="AF72" s="146"/>
      <c r="AG72" s="146"/>
      <c r="AH72" s="146"/>
      <c r="AI72" s="146"/>
      <c r="AJ72" s="146"/>
      <c r="AK72" s="146"/>
      <c r="AL72" s="146"/>
      <c r="AM72" s="146"/>
    </row>
    <row r="73" spans="1:39" s="147" customFormat="1" ht="25" customHeight="1" x14ac:dyDescent="0.35">
      <c r="A73" s="124" t="s">
        <v>126</v>
      </c>
      <c r="B73" s="156">
        <v>12265936906433</v>
      </c>
      <c r="C73" s="156">
        <v>12993454552852</v>
      </c>
      <c r="D73" s="165" t="s">
        <v>127</v>
      </c>
      <c r="E73" s="156">
        <v>12950670402404</v>
      </c>
      <c r="F73" s="156">
        <v>12548212246871</v>
      </c>
      <c r="G73" s="124"/>
      <c r="H73" s="124"/>
      <c r="I73" s="124"/>
      <c r="J73" s="124"/>
      <c r="K73" s="124"/>
      <c r="L73" s="10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row>
    <row r="74" spans="1:39" s="147" customFormat="1" ht="25" customHeight="1" x14ac:dyDescent="0.35">
      <c r="A74" s="124" t="s">
        <v>128</v>
      </c>
      <c r="B74" s="166">
        <f>B70</f>
        <v>13399.237138222999</v>
      </c>
      <c r="C74" s="166">
        <f>C70</f>
        <v>14389.756969807</v>
      </c>
      <c r="D74" s="160">
        <f>E70</f>
        <v>14517.982829389</v>
      </c>
      <c r="E74" s="160">
        <f>F70</f>
        <v>14144.057927948999</v>
      </c>
      <c r="F74" s="159" t="s">
        <v>129</v>
      </c>
      <c r="G74" s="124"/>
      <c r="H74" s="124"/>
      <c r="I74" s="124"/>
      <c r="J74" s="124"/>
      <c r="K74" s="124"/>
      <c r="L74" s="106"/>
      <c r="M74" s="146"/>
      <c r="N74" s="146"/>
      <c r="O74" s="146"/>
      <c r="P74" s="146"/>
      <c r="Q74" s="146"/>
      <c r="R74" s="146"/>
      <c r="S74" s="146"/>
      <c r="T74" s="146"/>
      <c r="U74" s="146"/>
      <c r="V74" s="146"/>
      <c r="W74" s="146"/>
      <c r="X74" s="146"/>
      <c r="Y74" s="146"/>
      <c r="Z74" s="146"/>
      <c r="AA74" s="146"/>
      <c r="AB74" s="146"/>
      <c r="AC74" s="146"/>
      <c r="AD74" s="146"/>
      <c r="AE74" s="146"/>
      <c r="AF74" s="146"/>
      <c r="AG74" s="146"/>
      <c r="AH74" s="146"/>
      <c r="AI74" s="146"/>
      <c r="AJ74" s="146"/>
      <c r="AK74" s="146"/>
      <c r="AL74" s="146"/>
      <c r="AM74" s="146"/>
    </row>
    <row r="75" spans="1:39" s="145" customFormat="1" ht="25" customHeight="1" x14ac:dyDescent="0.35">
      <c r="A75" s="124"/>
      <c r="B75" s="124"/>
      <c r="C75" s="159">
        <f>C74/B74-1</f>
        <v>7.3923598885970776E-2</v>
      </c>
      <c r="D75" s="159">
        <f t="shared" ref="D75:E75" si="35">D74/C74-1</f>
        <v>8.9109121058157381E-3</v>
      </c>
      <c r="E75" s="159">
        <f t="shared" si="35"/>
        <v>-2.5755981794045035E-2</v>
      </c>
      <c r="F75" s="159">
        <f>AVERAGE(C75:E75)</f>
        <v>1.9026176399247158E-2</v>
      </c>
      <c r="G75" s="124">
        <f>G70/G3</f>
        <v>0.23812255993327427</v>
      </c>
      <c r="H75" s="124">
        <f>H70/H3</f>
        <v>0.23989823712254399</v>
      </c>
      <c r="I75" s="124">
        <f>I70/I3</f>
        <v>0.24138738770699422</v>
      </c>
      <c r="J75" s="124">
        <f>J70/J3</f>
        <v>0.24259190021357255</v>
      </c>
      <c r="K75" s="124">
        <f>K70/K3</f>
        <v>0.24351374439322587</v>
      </c>
      <c r="L75" s="144"/>
    </row>
    <row r="76" spans="1:39" s="147" customFormat="1" ht="25" customHeight="1" x14ac:dyDescent="0.35">
      <c r="A76" s="429" t="s">
        <v>130</v>
      </c>
      <c r="B76" s="429"/>
      <c r="C76" s="429"/>
      <c r="D76" s="429"/>
      <c r="E76" s="429"/>
      <c r="F76" s="429"/>
      <c r="G76" s="429"/>
      <c r="H76" s="429"/>
      <c r="I76" s="429"/>
      <c r="J76" s="429"/>
      <c r="K76" s="429"/>
      <c r="L76" s="106"/>
      <c r="M76" s="146"/>
      <c r="N76" s="146"/>
      <c r="O76" s="146"/>
      <c r="P76" s="146"/>
      <c r="Q76" s="146"/>
      <c r="R76" s="146"/>
      <c r="S76" s="146"/>
      <c r="T76" s="146"/>
      <c r="U76" s="146"/>
      <c r="V76" s="146"/>
      <c r="W76" s="146"/>
      <c r="X76" s="146"/>
      <c r="Y76" s="146"/>
      <c r="Z76" s="146"/>
      <c r="AA76" s="146"/>
      <c r="AB76" s="146"/>
      <c r="AC76" s="146"/>
      <c r="AD76" s="146"/>
      <c r="AE76" s="146"/>
      <c r="AF76" s="146"/>
      <c r="AG76" s="146"/>
      <c r="AH76" s="146"/>
      <c r="AI76" s="146"/>
      <c r="AJ76" s="146"/>
      <c r="AK76" s="146"/>
      <c r="AL76" s="146"/>
      <c r="AM76" s="146"/>
    </row>
    <row r="77" spans="1:39" s="147" customFormat="1" ht="25" customHeight="1" x14ac:dyDescent="0.35">
      <c r="A77" s="121" t="s">
        <v>131</v>
      </c>
      <c r="B77" s="121">
        <f>B79/1000000000</f>
        <v>450.24732998000002</v>
      </c>
      <c r="C77" s="121">
        <f>C79/1000000000</f>
        <v>249.44625917900001</v>
      </c>
      <c r="D77" s="121">
        <f>D79/1000000000</f>
        <v>212.38619513500001</v>
      </c>
      <c r="E77" s="121">
        <f>E79/1000000000</f>
        <v>422.82319229000001</v>
      </c>
      <c r="F77" s="121">
        <f>F79/1000000000</f>
        <v>289.02179912700001</v>
      </c>
      <c r="G77" s="121">
        <f>F77*(1+G78)</f>
        <v>294.78965937426142</v>
      </c>
      <c r="H77" s="121">
        <f t="shared" ref="H77:K77" si="36">G77*(1+H78)</f>
        <v>300.67262585895003</v>
      </c>
      <c r="I77" s="121">
        <f t="shared" si="36"/>
        <v>306.6729956973839</v>
      </c>
      <c r="J77" s="121">
        <f t="shared" si="36"/>
        <v>312.7931118482569</v>
      </c>
      <c r="K77" s="121">
        <f t="shared" si="36"/>
        <v>319.03536402749131</v>
      </c>
      <c r="L77" s="10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c r="AL77" s="146"/>
      <c r="AM77" s="146"/>
    </row>
    <row r="78" spans="1:39" s="145" customFormat="1" ht="25" customHeight="1" x14ac:dyDescent="0.35">
      <c r="A78" s="124"/>
      <c r="B78" s="160"/>
      <c r="C78" s="126">
        <f>C77/B77-1</f>
        <v>-0.44597948156609746</v>
      </c>
      <c r="D78" s="126">
        <f t="shared" ref="D78:F78" si="37">D77/C77-1</f>
        <v>-0.14856933179104559</v>
      </c>
      <c r="E78" s="126">
        <f t="shared" si="37"/>
        <v>0.99082238853254556</v>
      </c>
      <c r="F78" s="126">
        <f t="shared" si="37"/>
        <v>-0.3164476206670096</v>
      </c>
      <c r="G78" s="127">
        <f>AVERAGE($C$78:$F$78)</f>
        <v>1.9956488627098229E-2</v>
      </c>
      <c r="H78" s="127">
        <f t="shared" ref="H78:K78" si="38">AVERAGE($C$78:$F$78)</f>
        <v>1.9956488627098229E-2</v>
      </c>
      <c r="I78" s="127">
        <f t="shared" si="38"/>
        <v>1.9956488627098229E-2</v>
      </c>
      <c r="J78" s="127">
        <f t="shared" si="38"/>
        <v>1.9956488627098229E-2</v>
      </c>
      <c r="K78" s="127">
        <f t="shared" si="38"/>
        <v>1.9956488627098229E-2</v>
      </c>
      <c r="L78" s="144"/>
    </row>
    <row r="79" spans="1:39" s="147" customFormat="1" ht="25" customHeight="1" x14ac:dyDescent="0.35">
      <c r="A79" s="124"/>
      <c r="B79" s="156">
        <v>450247329980</v>
      </c>
      <c r="C79" s="156">
        <v>249446259179</v>
      </c>
      <c r="D79" s="156">
        <v>212386195135</v>
      </c>
      <c r="E79" s="156">
        <v>422823192290</v>
      </c>
      <c r="F79" s="156">
        <v>289021799127</v>
      </c>
      <c r="G79" s="124"/>
      <c r="H79" s="124"/>
      <c r="I79" s="124"/>
      <c r="J79" s="124"/>
      <c r="K79" s="124"/>
      <c r="L79" s="10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row>
    <row r="80" spans="1:39" s="147" customFormat="1" ht="25" customHeight="1" x14ac:dyDescent="0.35">
      <c r="A80" s="429" t="s">
        <v>132</v>
      </c>
      <c r="B80" s="429"/>
      <c r="C80" s="429"/>
      <c r="D80" s="429"/>
      <c r="E80" s="429"/>
      <c r="F80" s="429"/>
      <c r="G80" s="429"/>
      <c r="H80" s="429"/>
      <c r="I80" s="429"/>
      <c r="J80" s="429"/>
      <c r="K80" s="429"/>
      <c r="L80" s="106"/>
      <c r="M80" s="146"/>
      <c r="N80" s="146"/>
      <c r="O80" s="146"/>
      <c r="P80" s="146"/>
      <c r="Q80" s="146"/>
      <c r="R80" s="146"/>
      <c r="S80" s="146"/>
      <c r="T80" s="146"/>
      <c r="U80" s="146"/>
      <c r="V80" s="146"/>
      <c r="W80" s="146"/>
      <c r="X80" s="146"/>
      <c r="Y80" s="146"/>
      <c r="Z80" s="146"/>
      <c r="AA80" s="146"/>
      <c r="AB80" s="146"/>
      <c r="AC80" s="146"/>
      <c r="AD80" s="146"/>
      <c r="AE80" s="146"/>
      <c r="AF80" s="146"/>
      <c r="AG80" s="146"/>
      <c r="AH80" s="146"/>
      <c r="AI80" s="146"/>
      <c r="AJ80" s="146"/>
      <c r="AK80" s="146"/>
      <c r="AL80" s="146"/>
      <c r="AM80" s="146"/>
    </row>
    <row r="81" spans="1:39" s="147" customFormat="1" ht="25" customHeight="1" x14ac:dyDescent="0.35">
      <c r="A81" s="121" t="s">
        <v>133</v>
      </c>
      <c r="B81" s="121">
        <f>B83/1000000000</f>
        <v>275.06450460899998</v>
      </c>
      <c r="C81" s="121">
        <f>C83/1000000000</f>
        <v>250.82673599399999</v>
      </c>
      <c r="D81" s="121">
        <f>D83/1000000000</f>
        <v>233.23093252699999</v>
      </c>
      <c r="E81" s="121">
        <f>E83/1000000000</f>
        <v>228.207525562</v>
      </c>
      <c r="F81" s="121">
        <f>F83/1000000000</f>
        <v>284.551949482</v>
      </c>
      <c r="G81" s="121">
        <f>F81*(1+G82)</f>
        <v>289.32486022591871</v>
      </c>
      <c r="H81" s="121">
        <f t="shared" ref="H81:K81" si="39">G81*(1+H82)</f>
        <v>294.17782902957271</v>
      </c>
      <c r="I81" s="121">
        <f t="shared" si="39"/>
        <v>299.11219874081149</v>
      </c>
      <c r="J81" s="121">
        <f t="shared" si="39"/>
        <v>304.12933473164219</v>
      </c>
      <c r="K81" s="121">
        <f t="shared" si="39"/>
        <v>309.23062527603656</v>
      </c>
      <c r="L81" s="10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row>
    <row r="82" spans="1:39" s="145" customFormat="1" ht="25" customHeight="1" x14ac:dyDescent="0.35">
      <c r="A82" s="124"/>
      <c r="B82" s="160"/>
      <c r="C82" s="126">
        <f>C81/B81-1</f>
        <v>-8.8116671576558447E-2</v>
      </c>
      <c r="D82" s="126">
        <f t="shared" ref="D82:F82" si="40">D81/C81-1</f>
        <v>-7.015122768818749E-2</v>
      </c>
      <c r="E82" s="126">
        <f t="shared" si="40"/>
        <v>-2.1538339321343858E-2</v>
      </c>
      <c r="F82" s="126">
        <f t="shared" si="40"/>
        <v>0.24689993803334143</v>
      </c>
      <c r="G82" s="127">
        <f>AVERAGE($C$82:$F$82)</f>
        <v>1.6773424861812908E-2</v>
      </c>
      <c r="H82" s="127">
        <f t="shared" ref="H82:K82" si="41">AVERAGE($C$82:$F$82)</f>
        <v>1.6773424861812908E-2</v>
      </c>
      <c r="I82" s="127">
        <f t="shared" si="41"/>
        <v>1.6773424861812908E-2</v>
      </c>
      <c r="J82" s="127">
        <f t="shared" si="41"/>
        <v>1.6773424861812908E-2</v>
      </c>
      <c r="K82" s="127">
        <f t="shared" si="41"/>
        <v>1.6773424861812908E-2</v>
      </c>
      <c r="L82" s="144"/>
    </row>
    <row r="83" spans="1:39" s="147" customFormat="1" ht="25" customHeight="1" x14ac:dyDescent="0.35">
      <c r="A83" s="124"/>
      <c r="B83" s="156">
        <v>275064504609</v>
      </c>
      <c r="C83" s="156">
        <v>250826735994</v>
      </c>
      <c r="D83" s="156">
        <v>233230932527</v>
      </c>
      <c r="E83" s="156">
        <v>228207525562</v>
      </c>
      <c r="F83" s="156">
        <v>284551949482</v>
      </c>
      <c r="G83" s="124"/>
      <c r="H83" s="124"/>
      <c r="I83" s="124"/>
      <c r="J83" s="124"/>
      <c r="K83" s="124"/>
      <c r="L83" s="106"/>
      <c r="M83" s="146"/>
      <c r="N83" s="146"/>
      <c r="O83" s="146"/>
      <c r="P83" s="146"/>
      <c r="Q83" s="146"/>
      <c r="R83" s="146"/>
      <c r="S83" s="146"/>
      <c r="T83" s="146"/>
      <c r="U83" s="146"/>
      <c r="V83" s="146"/>
      <c r="W83" s="146"/>
      <c r="X83" s="146"/>
      <c r="Y83" s="146"/>
      <c r="Z83" s="146"/>
      <c r="AA83" s="146"/>
      <c r="AB83" s="146"/>
      <c r="AC83" s="146"/>
      <c r="AD83" s="146"/>
      <c r="AE83" s="146"/>
      <c r="AF83" s="146"/>
      <c r="AG83" s="146"/>
      <c r="AH83" s="146"/>
      <c r="AI83" s="146"/>
      <c r="AJ83" s="146"/>
      <c r="AK83" s="146"/>
      <c r="AL83" s="146"/>
      <c r="AM83" s="146"/>
    </row>
    <row r="84" spans="1:39" s="147" customFormat="1" ht="25" customHeight="1" x14ac:dyDescent="0.35">
      <c r="A84" s="429" t="s">
        <v>134</v>
      </c>
      <c r="B84" s="429"/>
      <c r="C84" s="429"/>
      <c r="D84" s="429"/>
      <c r="E84" s="429"/>
      <c r="F84" s="429"/>
      <c r="G84" s="429"/>
      <c r="H84" s="429"/>
      <c r="I84" s="429"/>
      <c r="J84" s="429"/>
      <c r="K84" s="429"/>
      <c r="L84" s="106"/>
      <c r="M84" s="146"/>
      <c r="N84" s="146"/>
      <c r="O84" s="146"/>
      <c r="P84" s="146"/>
      <c r="Q84" s="146"/>
      <c r="R84" s="146"/>
      <c r="S84" s="146"/>
      <c r="T84" s="146"/>
      <c r="U84" s="146"/>
      <c r="V84" s="146"/>
      <c r="W84" s="146"/>
      <c r="X84" s="146"/>
      <c r="Y84" s="146"/>
      <c r="Z84" s="146"/>
      <c r="AA84" s="146"/>
      <c r="AB84" s="146"/>
      <c r="AC84" s="146"/>
      <c r="AD84" s="146"/>
      <c r="AE84" s="146"/>
      <c r="AF84" s="146"/>
      <c r="AG84" s="146"/>
      <c r="AH84" s="146"/>
      <c r="AI84" s="146"/>
      <c r="AJ84" s="146"/>
      <c r="AK84" s="146"/>
      <c r="AL84" s="146"/>
      <c r="AM84" s="146"/>
    </row>
    <row r="85" spans="1:39" s="147" customFormat="1" ht="25" customHeight="1" x14ac:dyDescent="0.35">
      <c r="A85" s="121" t="s">
        <v>135</v>
      </c>
      <c r="B85" s="121">
        <f>B87/1000000000</f>
        <v>1846.066554884</v>
      </c>
      <c r="C85" s="121">
        <f t="shared" ref="C85:F85" si="42">C87/1000000000</f>
        <v>2241.377757666</v>
      </c>
      <c r="D85" s="121">
        <f t="shared" si="42"/>
        <v>2282.803852899</v>
      </c>
      <c r="E85" s="121">
        <f t="shared" si="42"/>
        <v>2289.6995144409998</v>
      </c>
      <c r="F85" s="121">
        <f t="shared" si="42"/>
        <v>1917.959357037</v>
      </c>
      <c r="G85" s="121">
        <f>F85*(1+G86)</f>
        <v>1953.0996806361595</v>
      </c>
      <c r="H85" s="121">
        <f t="shared" ref="H85:K85" si="43">G85*(1+H86)</f>
        <v>1988.883835575187</v>
      </c>
      <c r="I85" s="121">
        <f t="shared" si="43"/>
        <v>2025.3236179547368</v>
      </c>
      <c r="J85" s="121">
        <f t="shared" si="43"/>
        <v>2062.4310400003737</v>
      </c>
      <c r="K85" s="121">
        <f t="shared" si="43"/>
        <v>2100.2183340223532</v>
      </c>
      <c r="L85" s="106"/>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46"/>
      <c r="AM85" s="146"/>
    </row>
    <row r="86" spans="1:39" s="147" customFormat="1" ht="25" customHeight="1" x14ac:dyDescent="0.35">
      <c r="A86" s="124"/>
      <c r="B86" s="124"/>
      <c r="C86" s="159">
        <f>C85/B85-1</f>
        <v>0.21413702649893884</v>
      </c>
      <c r="D86" s="159">
        <f t="shared" ref="D86:F86" si="44">D85/C85-1</f>
        <v>1.8482424522735519E-2</v>
      </c>
      <c r="E86" s="159">
        <f t="shared" si="44"/>
        <v>3.0206982230394086E-3</v>
      </c>
      <c r="F86" s="159">
        <f t="shared" si="44"/>
        <v>-0.16235324987381816</v>
      </c>
      <c r="G86" s="167">
        <f>AVERAGE($C$86:$F$86)</f>
        <v>1.8321724842723902E-2</v>
      </c>
      <c r="H86" s="167">
        <f t="shared" ref="H86:K86" si="45">AVERAGE($C$86:$F$86)</f>
        <v>1.8321724842723902E-2</v>
      </c>
      <c r="I86" s="167">
        <f t="shared" si="45"/>
        <v>1.8321724842723902E-2</v>
      </c>
      <c r="J86" s="167">
        <f t="shared" si="45"/>
        <v>1.8321724842723902E-2</v>
      </c>
      <c r="K86" s="167">
        <f t="shared" si="45"/>
        <v>1.8321724842723902E-2</v>
      </c>
      <c r="L86" s="106"/>
      <c r="M86" s="146"/>
      <c r="N86" s="146"/>
      <c r="O86" s="146"/>
      <c r="P86" s="146"/>
      <c r="Q86" s="146"/>
      <c r="R86" s="146"/>
      <c r="S86" s="146"/>
      <c r="T86" s="146"/>
      <c r="U86" s="146"/>
      <c r="V86" s="146"/>
      <c r="W86" s="146"/>
      <c r="X86" s="146"/>
      <c r="Y86" s="146"/>
      <c r="Z86" s="146"/>
      <c r="AA86" s="146"/>
      <c r="AB86" s="146"/>
      <c r="AC86" s="146"/>
      <c r="AD86" s="146"/>
      <c r="AE86" s="146"/>
      <c r="AF86" s="146"/>
      <c r="AG86" s="146"/>
      <c r="AH86" s="146"/>
      <c r="AI86" s="146"/>
      <c r="AJ86" s="146"/>
      <c r="AK86" s="146"/>
      <c r="AL86" s="146"/>
      <c r="AM86" s="146"/>
    </row>
    <row r="87" spans="1:39" s="147" customFormat="1" ht="100.5" customHeight="1" x14ac:dyDescent="0.35">
      <c r="A87" s="124"/>
      <c r="B87" s="156">
        <v>1846066554884</v>
      </c>
      <c r="C87" s="156">
        <v>2241377757666</v>
      </c>
      <c r="D87" s="156">
        <v>2282803852899</v>
      </c>
      <c r="E87" s="156">
        <v>2289699514441</v>
      </c>
      <c r="F87" s="156">
        <v>1917959357037</v>
      </c>
      <c r="G87" s="124"/>
      <c r="H87" s="124"/>
      <c r="I87" s="124"/>
      <c r="J87" s="124"/>
      <c r="K87" s="124"/>
      <c r="L87" s="106"/>
      <c r="M87" s="146"/>
      <c r="N87" s="146"/>
      <c r="O87" s="146"/>
      <c r="P87" s="146"/>
      <c r="Q87" s="146"/>
      <c r="R87" s="146"/>
      <c r="S87" s="146"/>
      <c r="T87" s="146"/>
      <c r="U87" s="146"/>
      <c r="V87" s="146"/>
      <c r="W87" s="146"/>
      <c r="X87" s="146"/>
      <c r="Y87" s="146"/>
      <c r="Z87" s="146"/>
      <c r="AA87" s="146"/>
      <c r="AB87" s="146"/>
      <c r="AC87" s="146"/>
      <c r="AD87" s="146"/>
      <c r="AE87" s="146"/>
      <c r="AF87" s="146"/>
      <c r="AG87" s="146"/>
      <c r="AH87" s="146"/>
      <c r="AI87" s="146"/>
      <c r="AJ87" s="146"/>
      <c r="AK87" s="146"/>
      <c r="AL87" s="146"/>
      <c r="AM87" s="146"/>
    </row>
    <row r="88" spans="1:39" s="147" customFormat="1" ht="25" customHeight="1" x14ac:dyDescent="0.35">
      <c r="A88" s="124"/>
      <c r="B88" s="110">
        <v>2018</v>
      </c>
      <c r="C88" s="110">
        <v>2019</v>
      </c>
      <c r="D88" s="110">
        <v>2020</v>
      </c>
      <c r="E88" s="110">
        <v>2021</v>
      </c>
      <c r="F88" s="110">
        <v>2022</v>
      </c>
      <c r="G88" s="110" t="s">
        <v>50</v>
      </c>
      <c r="H88" s="110" t="s">
        <v>51</v>
      </c>
      <c r="I88" s="110" t="s">
        <v>52</v>
      </c>
      <c r="J88" s="110" t="s">
        <v>53</v>
      </c>
      <c r="K88" s="110" t="s">
        <v>54</v>
      </c>
      <c r="L88" s="10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46"/>
      <c r="AM88" s="146"/>
    </row>
    <row r="89" spans="1:39" s="147" customFormat="1" ht="25" customHeight="1" x14ac:dyDescent="0.35">
      <c r="A89" s="114" t="s">
        <v>136</v>
      </c>
      <c r="B89" s="114">
        <f t="shared" ref="B89:K89" si="46">B3-B48</f>
        <v>10183.196020089999</v>
      </c>
      <c r="C89" s="114">
        <f t="shared" si="46"/>
        <v>10560.048709249997</v>
      </c>
      <c r="D89" s="114">
        <f t="shared" si="46"/>
        <v>24679.342442066998</v>
      </c>
      <c r="E89" s="114">
        <f t="shared" si="46"/>
        <v>10677.580556220993</v>
      </c>
      <c r="F89" s="114">
        <f t="shared" si="46"/>
        <v>8602.0510986930094</v>
      </c>
      <c r="G89" s="114">
        <f t="shared" si="46"/>
        <v>11460.362365186556</v>
      </c>
      <c r="H89" s="114">
        <f t="shared" si="46"/>
        <v>11477.489149209847</v>
      </c>
      <c r="I89" s="114">
        <f t="shared" si="46"/>
        <v>11338.243432924224</v>
      </c>
      <c r="J89" s="114">
        <f t="shared" si="46"/>
        <v>11584.563712509269</v>
      </c>
      <c r="K89" s="114">
        <f t="shared" si="46"/>
        <v>11885.685452146543</v>
      </c>
      <c r="L89" s="106"/>
      <c r="M89" s="146"/>
      <c r="N89" s="146"/>
      <c r="O89" s="146"/>
      <c r="P89" s="146"/>
      <c r="Q89" s="146"/>
      <c r="R89" s="146"/>
      <c r="S89" s="146"/>
      <c r="T89" s="146"/>
      <c r="U89" s="146"/>
      <c r="V89" s="146"/>
      <c r="W89" s="146"/>
      <c r="X89" s="146"/>
      <c r="Y89" s="146"/>
      <c r="Z89" s="146"/>
      <c r="AA89" s="146"/>
      <c r="AB89" s="146"/>
      <c r="AC89" s="146"/>
      <c r="AD89" s="146"/>
      <c r="AE89" s="146"/>
      <c r="AF89" s="146"/>
      <c r="AG89" s="146"/>
      <c r="AH89" s="146"/>
      <c r="AI89" s="146"/>
      <c r="AJ89" s="146"/>
      <c r="AK89" s="146"/>
      <c r="AL89" s="146"/>
      <c r="AM89" s="146"/>
    </row>
    <row r="90" spans="1:39" ht="25" customHeight="1" x14ac:dyDescent="0.35">
      <c r="A90" s="96" t="s">
        <v>122</v>
      </c>
      <c r="B90" s="168">
        <v>51367418852</v>
      </c>
      <c r="C90" s="168">
        <v>108824893987</v>
      </c>
      <c r="D90" s="168">
        <v>143818465177</v>
      </c>
      <c r="E90" s="168">
        <v>88799090663</v>
      </c>
      <c r="F90" s="168">
        <v>166039091744</v>
      </c>
      <c r="G90" s="169">
        <f>G89/F89-1</f>
        <v>0.33228252584175388</v>
      </c>
      <c r="H90" s="169">
        <f>H89/G89-1</f>
        <v>1.4944365175848517E-3</v>
      </c>
      <c r="I90" s="169">
        <f>I89/H89-1</f>
        <v>-1.2132071263618593E-2</v>
      </c>
      <c r="J90" s="169">
        <f>J89/I89-1</f>
        <v>2.1724730205542775E-2</v>
      </c>
      <c r="K90" s="169">
        <f>K89/J89-1</f>
        <v>2.5993360398382181E-2</v>
      </c>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row>
    <row r="91" spans="1:39" ht="25" customHeight="1" x14ac:dyDescent="0.35">
      <c r="A91" s="96" t="s">
        <v>123</v>
      </c>
      <c r="B91" s="168">
        <v>1309845580</v>
      </c>
      <c r="C91" s="168">
        <v>209154467</v>
      </c>
      <c r="D91" s="168">
        <v>211599639</v>
      </c>
      <c r="E91" s="168">
        <v>220680833</v>
      </c>
      <c r="F91" s="168">
        <v>841917041</v>
      </c>
      <c r="G91" s="96"/>
      <c r="H91" s="96"/>
      <c r="I91" s="96"/>
      <c r="J91" s="96"/>
      <c r="K91" s="96"/>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row>
    <row r="92" spans="1:39" ht="25" customHeight="1" x14ac:dyDescent="0.35">
      <c r="A92" s="96" t="s">
        <v>13</v>
      </c>
      <c r="B92" s="96">
        <v>27950543501501</v>
      </c>
      <c r="C92" s="96">
        <v>29745906112117</v>
      </c>
      <c r="D92" s="96">
        <v>31967662837839</v>
      </c>
      <c r="E92" s="96">
        <v>34640863353839</v>
      </c>
      <c r="F92" s="96">
        <v>36059015690711</v>
      </c>
      <c r="G92" s="96"/>
      <c r="H92" s="96"/>
      <c r="I92" s="96"/>
      <c r="J92" s="96"/>
      <c r="K92" s="96"/>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row>
    <row r="93" spans="1:39" ht="25" customHeight="1" x14ac:dyDescent="0.35">
      <c r="A93" s="96" t="s">
        <v>31</v>
      </c>
      <c r="B93" s="96"/>
      <c r="C93" s="96">
        <f>C92/B92-1</f>
        <v>6.4233549180164884E-2</v>
      </c>
      <c r="D93" s="96">
        <f>D92/C92-1</f>
        <v>7.4691176572259987E-2</v>
      </c>
      <c r="E93" s="96">
        <f>E92/D92-1</f>
        <v>8.3622019212359344E-2</v>
      </c>
      <c r="F93" s="96">
        <f>F92/E92-1</f>
        <v>4.0938712248199005E-2</v>
      </c>
      <c r="G93" s="96"/>
      <c r="H93" s="96"/>
      <c r="I93" s="96"/>
      <c r="J93" s="96"/>
      <c r="K93" s="96"/>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07"/>
    </row>
    <row r="94" spans="1:39" ht="25" customHeight="1" x14ac:dyDescent="0.35">
      <c r="A94" s="96" t="s">
        <v>137</v>
      </c>
      <c r="B94" s="96"/>
      <c r="C94" s="96"/>
      <c r="D94" s="96"/>
      <c r="E94" s="96"/>
      <c r="F94" s="96"/>
      <c r="G94" s="96"/>
      <c r="H94" s="96"/>
      <c r="I94" s="96"/>
      <c r="J94" s="96"/>
      <c r="K94" s="96"/>
      <c r="L94" s="106">
        <f>G89/F89-1</f>
        <v>0.33228252584175388</v>
      </c>
      <c r="M94" s="106">
        <f>H89/G89-1</f>
        <v>1.4944365175848517E-3</v>
      </c>
      <c r="N94" s="106">
        <f>I89/H89-1</f>
        <v>-1.2132071263618593E-2</v>
      </c>
      <c r="O94" s="106">
        <f>J89/I89-1</f>
        <v>2.1724730205542775E-2</v>
      </c>
      <c r="P94" s="106">
        <f>K89/J89-1</f>
        <v>2.5993360398382181E-2</v>
      </c>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row>
    <row r="95" spans="1:39" ht="25" customHeight="1" x14ac:dyDescent="0.35">
      <c r="A95" s="96"/>
      <c r="B95" s="96"/>
      <c r="C95" s="96"/>
      <c r="D95" s="96"/>
      <c r="E95" s="96"/>
      <c r="F95" s="96"/>
      <c r="G95" s="96"/>
      <c r="H95" s="96"/>
      <c r="I95" s="96"/>
      <c r="J95" s="96"/>
      <c r="K95" s="96"/>
      <c r="M95" s="107"/>
      <c r="N95" s="107">
        <f>SUM(L94:P94)/5</f>
        <v>7.3872596339929014E-2</v>
      </c>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row>
    <row r="96" spans="1:39" ht="25" customHeight="1" x14ac:dyDescent="0.35">
      <c r="A96" s="429" t="s">
        <v>10</v>
      </c>
      <c r="B96" s="429"/>
      <c r="C96" s="429"/>
      <c r="D96" s="429"/>
      <c r="E96" s="429"/>
      <c r="F96" s="429"/>
      <c r="G96" s="429"/>
      <c r="H96" s="429"/>
      <c r="I96" s="429"/>
      <c r="J96" s="429"/>
      <c r="K96" s="429"/>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07"/>
    </row>
    <row r="97" spans="1:39" ht="25" customHeight="1" x14ac:dyDescent="0.35">
      <c r="A97" s="96"/>
      <c r="B97" s="170">
        <v>1627</v>
      </c>
      <c r="C97" s="170">
        <v>1948</v>
      </c>
      <c r="D97" s="170">
        <v>2209</v>
      </c>
      <c r="E97" s="170">
        <v>2121</v>
      </c>
      <c r="F97" s="170">
        <v>2095</v>
      </c>
      <c r="G97" s="170">
        <f>F97*(1+AVERAGE($C$98:$F$98))</f>
        <v>2241.2225204932265</v>
      </c>
      <c r="H97" s="170">
        <f>G97*(1+AVERAGE($C$98:$F$98))</f>
        <v>2397.6507810816283</v>
      </c>
      <c r="I97" s="170">
        <f>H97*(1+AVERAGE($C$98:$F$98))</f>
        <v>2564.9971011161433</v>
      </c>
      <c r="J97" s="170">
        <f>I97*(1+AVERAGE($C$98:$F$98))</f>
        <v>2744.0235169552943</v>
      </c>
      <c r="K97" s="170">
        <f>J97*(1+AVERAGE($C$98:$F$98))</f>
        <v>2935.5452520110894</v>
      </c>
      <c r="M97" s="106">
        <f>AVERAGE($C$98:$F$98)</f>
        <v>6.979595250273346E-2</v>
      </c>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row>
    <row r="98" spans="1:39" ht="25" customHeight="1" x14ac:dyDescent="0.35">
      <c r="A98" s="96" t="s">
        <v>31</v>
      </c>
      <c r="B98" s="96"/>
      <c r="C98" s="104">
        <f>C97/B97-1</f>
        <v>0.19729563614013523</v>
      </c>
      <c r="D98" s="104">
        <f t="shared" ref="D98:F98" si="47">D97/C97-1</f>
        <v>0.13398357289527718</v>
      </c>
      <c r="E98" s="104">
        <f t="shared" si="47"/>
        <v>-3.9837030330466261E-2</v>
      </c>
      <c r="F98" s="104">
        <f t="shared" si="47"/>
        <v>-1.2258368694012312E-2</v>
      </c>
      <c r="G98" s="96"/>
      <c r="H98" s="96"/>
      <c r="I98" s="96"/>
      <c r="J98" s="96"/>
      <c r="K98" s="96"/>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07"/>
    </row>
    <row r="99" spans="1:39" ht="25" customHeight="1" x14ac:dyDescent="0.35">
      <c r="A99" s="429" t="s">
        <v>138</v>
      </c>
      <c r="B99" s="429"/>
      <c r="C99" s="429"/>
      <c r="D99" s="429"/>
      <c r="E99" s="429"/>
      <c r="F99" s="429"/>
      <c r="G99" s="429"/>
      <c r="H99" s="429"/>
      <c r="I99" s="429"/>
      <c r="J99" s="429"/>
      <c r="K99" s="429"/>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row>
    <row r="100" spans="1:39" ht="25" customHeight="1" x14ac:dyDescent="0.35">
      <c r="A100" s="96"/>
      <c r="B100" s="170">
        <v>57</v>
      </c>
      <c r="C100" s="170">
        <v>68</v>
      </c>
      <c r="D100" s="170">
        <v>608</v>
      </c>
      <c r="E100" s="170">
        <v>246</v>
      </c>
      <c r="F100" s="170">
        <v>246</v>
      </c>
      <c r="G100" s="170">
        <f>AVERAGE($B$100:$F$100)</f>
        <v>245</v>
      </c>
      <c r="H100" s="170">
        <f t="shared" ref="H100:K100" si="48">AVERAGE($B$100:$F$100)</f>
        <v>245</v>
      </c>
      <c r="I100" s="170">
        <f t="shared" si="48"/>
        <v>245</v>
      </c>
      <c r="J100" s="170">
        <f t="shared" si="48"/>
        <v>245</v>
      </c>
      <c r="K100" s="170">
        <f t="shared" si="48"/>
        <v>245</v>
      </c>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row>
    <row r="101" spans="1:39" ht="25" customHeight="1" thickBot="1" x14ac:dyDescent="0.4">
      <c r="A101" s="96"/>
      <c r="B101" s="170"/>
      <c r="C101" s="170"/>
      <c r="D101" s="170"/>
      <c r="E101" s="170"/>
      <c r="F101" s="170"/>
      <c r="G101" s="96"/>
      <c r="H101" s="96"/>
      <c r="I101" s="96"/>
      <c r="J101" s="96"/>
      <c r="K101" s="96"/>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row>
    <row r="102" spans="1:39" ht="25" customHeight="1" x14ac:dyDescent="0.35">
      <c r="A102" s="171" t="s">
        <v>139</v>
      </c>
      <c r="B102" s="172">
        <f>B181/1000</f>
        <v>3368.7539999999999</v>
      </c>
      <c r="C102" s="172">
        <f>C181/1000</f>
        <v>3457.7040000000002</v>
      </c>
      <c r="D102" s="172">
        <f>D181/1000</f>
        <v>4157.1289999999999</v>
      </c>
      <c r="E102" s="172">
        <f>E181/1000</f>
        <v>4355.509</v>
      </c>
      <c r="F102" s="172">
        <f>F190/1000</f>
        <v>4620.4970000000003</v>
      </c>
      <c r="G102" s="173">
        <f>F102*(1+AVERAGE($C$104:$F$104))</f>
        <v>4847.9028653726255</v>
      </c>
      <c r="H102" s="173">
        <f>G102*(1+AVERAGE($C$104:$F$104))</f>
        <v>5086.5009093368335</v>
      </c>
      <c r="I102" s="173">
        <f>H102*(1-AVERAGE($C$104:$F$104))</f>
        <v>4836.1598440777525</v>
      </c>
      <c r="J102" s="173">
        <f>I102*(1-AVERAGE($C$104:$F$104))</f>
        <v>4598.1397535067945</v>
      </c>
      <c r="K102" s="173">
        <f>J102*(1-AVERAGE($C$104:$F$104))</f>
        <v>4371.8342392405839</v>
      </c>
      <c r="M102" s="106">
        <f>AVERAGE($C$104:$F$104)</f>
        <v>4.9216754252329353E-2</v>
      </c>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row>
    <row r="103" spans="1:39" ht="25" customHeight="1" x14ac:dyDescent="0.35">
      <c r="A103" s="96"/>
      <c r="B103" s="104">
        <f>B102/B3</f>
        <v>6.4091115341040436E-2</v>
      </c>
      <c r="C103" s="104">
        <f>C102/C3</f>
        <v>6.1395938213352749E-2</v>
      </c>
      <c r="D103" s="104">
        <f>D102/D3</f>
        <v>6.9708046540658153E-2</v>
      </c>
      <c r="E103" s="104">
        <f>E102/E3</f>
        <v>7.1496531510239839E-2</v>
      </c>
      <c r="F103" s="104">
        <f>F102/F3</f>
        <v>7.7064480036584018E-2</v>
      </c>
      <c r="G103" s="103">
        <f>F102*(1+AVERAGE(C104:F104))</f>
        <v>4847.9028653726255</v>
      </c>
      <c r="H103" s="103">
        <f>AVERAGE($B$103:$F$103)</f>
        <v>6.8751222328375036E-2</v>
      </c>
      <c r="I103" s="103">
        <f>AVERAGE($B$103:$F$103)</f>
        <v>6.8751222328375036E-2</v>
      </c>
      <c r="J103" s="103">
        <f>AVERAGE($B$103:$F$103)</f>
        <v>6.8751222328375036E-2</v>
      </c>
      <c r="K103" s="103">
        <f>AVERAGE($B$103:$F$103)</f>
        <v>6.8751222328375036E-2</v>
      </c>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07"/>
    </row>
    <row r="104" spans="1:39" ht="25" customHeight="1" thickBot="1" x14ac:dyDescent="0.4">
      <c r="A104" s="96"/>
      <c r="B104" s="170"/>
      <c r="C104" s="104">
        <f>C103/B103-1</f>
        <v>-4.2052273756606695E-2</v>
      </c>
      <c r="D104" s="104">
        <f>D103/C103-1</f>
        <v>0.13538531325021164</v>
      </c>
      <c r="E104" s="104">
        <f>E103/D103-1</f>
        <v>2.5656793703701553E-2</v>
      </c>
      <c r="F104" s="104">
        <f>F103/E103-1</f>
        <v>7.7877183812010919E-2</v>
      </c>
      <c r="G104" s="96"/>
      <c r="H104" s="96"/>
      <c r="I104" s="96"/>
      <c r="J104" s="96"/>
      <c r="K104" s="96"/>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07"/>
    </row>
    <row r="105" spans="1:39" ht="25" customHeight="1" x14ac:dyDescent="0.35">
      <c r="A105" s="174" t="s">
        <v>140</v>
      </c>
      <c r="B105" s="170">
        <f>B184/1000</f>
        <v>5525.8459999999995</v>
      </c>
      <c r="C105" s="170">
        <f>C184/1000</f>
        <v>4983.0439999999999</v>
      </c>
      <c r="D105" s="170">
        <f>D184/1000</f>
        <v>4905.0690000000004</v>
      </c>
      <c r="E105" s="170">
        <f>E184/1000</f>
        <v>6773.0720000000001</v>
      </c>
      <c r="F105" s="170">
        <f>F193/1000</f>
        <v>5537.5630000000001</v>
      </c>
      <c r="G105" s="173">
        <f>G106*G3</f>
        <v>5803.4768812694729</v>
      </c>
      <c r="H105" s="173">
        <f>H106*H3</f>
        <v>5870.1214282007368</v>
      </c>
      <c r="I105" s="173">
        <f>H105*(1-I106)</f>
        <v>5635.3165710727071</v>
      </c>
      <c r="J105" s="173">
        <f>I105*(1-J106)</f>
        <v>5409.9039082297986</v>
      </c>
      <c r="K105" s="173">
        <f>J105*(1-K106)</f>
        <v>5193.5077519006063</v>
      </c>
      <c r="L105" s="106">
        <v>0.35</v>
      </c>
      <c r="M105" s="106">
        <v>0.38500000000000001</v>
      </c>
      <c r="N105" s="106">
        <v>0.40699999999999997</v>
      </c>
      <c r="O105" s="175">
        <v>0.41</v>
      </c>
      <c r="P105" s="106">
        <v>0.41599999999999998</v>
      </c>
      <c r="Q105" s="106">
        <v>0.42199999999999999</v>
      </c>
      <c r="R105" s="107"/>
      <c r="S105" s="107"/>
      <c r="T105" s="107"/>
      <c r="U105" s="107"/>
      <c r="V105" s="107"/>
      <c r="W105" s="107"/>
      <c r="X105" s="107"/>
      <c r="Y105" s="107"/>
      <c r="Z105" s="107"/>
      <c r="AA105" s="107"/>
      <c r="AB105" s="107"/>
      <c r="AC105" s="107"/>
      <c r="AD105" s="107"/>
      <c r="AE105" s="107"/>
      <c r="AF105" s="107"/>
      <c r="AG105" s="107"/>
      <c r="AH105" s="107"/>
      <c r="AI105" s="107"/>
      <c r="AJ105" s="107"/>
      <c r="AK105" s="107"/>
      <c r="AL105" s="107"/>
      <c r="AM105" s="107"/>
    </row>
    <row r="106" spans="1:39" ht="25" customHeight="1" x14ac:dyDescent="0.35">
      <c r="A106" s="96"/>
      <c r="B106" s="104">
        <f>B105/B3</f>
        <v>0.10513015593980056</v>
      </c>
      <c r="C106" s="104">
        <f>C105/C3</f>
        <v>8.8480292569409674E-2</v>
      </c>
      <c r="D106" s="104">
        <f>D105/D3</f>
        <v>8.2249739697069668E-2</v>
      </c>
      <c r="E106" s="104">
        <f>E105/E3</f>
        <v>0.11118130066293587</v>
      </c>
      <c r="F106" s="104">
        <f>F105/F3</f>
        <v>9.2360067166979282E-2</v>
      </c>
      <c r="G106" s="103">
        <f>AVERAGE($B$106:$F$106)</f>
        <v>9.5880311207239013E-2</v>
      </c>
      <c r="H106" s="103">
        <f>AVERAGE($B$106:$F$106)</f>
        <v>9.5880311207239013E-2</v>
      </c>
      <c r="I106" s="103">
        <v>0.04</v>
      </c>
      <c r="J106" s="103">
        <v>0.04</v>
      </c>
      <c r="K106" s="103">
        <v>0.04</v>
      </c>
      <c r="M106" s="106">
        <f>M105/L105-1</f>
        <v>0.10000000000000009</v>
      </c>
      <c r="N106" s="176">
        <f>N105/M105-1</f>
        <v>5.714285714285694E-2</v>
      </c>
      <c r="O106" s="176">
        <f>O105/N105-1</f>
        <v>7.3710073710073765E-3</v>
      </c>
      <c r="P106" s="176">
        <f>P105/O105-1</f>
        <v>1.4634146341463428E-2</v>
      </c>
      <c r="Q106" s="176">
        <f>Q105/P105-1</f>
        <v>1.4423076923076872E-2</v>
      </c>
      <c r="R106" s="107"/>
      <c r="S106" s="107"/>
      <c r="T106" s="107"/>
      <c r="U106" s="107"/>
      <c r="V106" s="107"/>
      <c r="W106" s="107"/>
      <c r="X106" s="107"/>
      <c r="Y106" s="107"/>
      <c r="Z106" s="107"/>
      <c r="AA106" s="107"/>
      <c r="AB106" s="107"/>
      <c r="AC106" s="107"/>
      <c r="AD106" s="107"/>
      <c r="AE106" s="107"/>
      <c r="AF106" s="107"/>
      <c r="AG106" s="107"/>
      <c r="AH106" s="107"/>
      <c r="AI106" s="107"/>
      <c r="AJ106" s="107"/>
      <c r="AK106" s="107"/>
      <c r="AL106" s="107"/>
      <c r="AM106" s="107"/>
    </row>
    <row r="107" spans="1:39" ht="25" customHeight="1" thickBot="1" x14ac:dyDescent="0.4">
      <c r="A107" s="96"/>
      <c r="B107" s="170"/>
      <c r="C107" s="170"/>
      <c r="D107" s="170"/>
      <c r="E107" s="170"/>
      <c r="F107" s="170"/>
      <c r="G107" s="96"/>
      <c r="H107" s="96"/>
      <c r="I107" s="96"/>
      <c r="J107" s="96"/>
      <c r="K107" s="96"/>
      <c r="M107" s="107"/>
      <c r="N107" s="107">
        <f>SUM(M106:Q106)/5</f>
        <v>3.8714217555680941E-2</v>
      </c>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c r="AL107" s="107"/>
      <c r="AM107" s="107"/>
    </row>
    <row r="108" spans="1:39" ht="25" customHeight="1" x14ac:dyDescent="0.35">
      <c r="A108" s="115" t="s">
        <v>141</v>
      </c>
      <c r="B108" s="170">
        <f>B187/1000</f>
        <v>3991.0650000000001</v>
      </c>
      <c r="C108" s="170">
        <f>C187/1000</f>
        <v>3648.4459999999999</v>
      </c>
      <c r="D108" s="170">
        <f>D187/1000</f>
        <v>3199.1860000000001</v>
      </c>
      <c r="E108" s="170">
        <f>E187/1000</f>
        <v>4213.8879999999999</v>
      </c>
      <c r="F108" s="170">
        <f>F196/1000</f>
        <v>4284.1580000000004</v>
      </c>
      <c r="G108" s="173">
        <f>F108*(1-$G$109)</f>
        <v>3997.1322799084023</v>
      </c>
      <c r="H108" s="173">
        <f>G108*(1-$G$109)</f>
        <v>3729.3364210857167</v>
      </c>
      <c r="I108" s="173">
        <f>H108*(1-$G$109)</f>
        <v>3479.4820805768113</v>
      </c>
      <c r="J108" s="173">
        <f>I108*(1-$G$109)</f>
        <v>3246.3672305354798</v>
      </c>
      <c r="K108" s="173">
        <f>J108*(1-$G$109)</f>
        <v>3028.870375371358</v>
      </c>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c r="AL108" s="107"/>
      <c r="AM108" s="107"/>
    </row>
    <row r="109" spans="1:39" ht="25" customHeight="1" x14ac:dyDescent="0.35">
      <c r="A109" s="96"/>
      <c r="B109" s="104">
        <f>B108/B3</f>
        <v>7.593068750303214E-2</v>
      </c>
      <c r="C109" s="104">
        <f>C108/C3</f>
        <v>6.4782805350242223E-2</v>
      </c>
      <c r="D109" s="104">
        <f>D108/D3</f>
        <v>5.3644957031697117E-2</v>
      </c>
      <c r="E109" s="104">
        <f>E108/E3</f>
        <v>6.917179511570784E-2</v>
      </c>
      <c r="F109" s="104">
        <f>F108/F3</f>
        <v>7.1454739320157917E-2</v>
      </c>
      <c r="G109" s="103">
        <f>AVERAGE(B109:F109)</f>
        <v>6.6996996864167449E-2</v>
      </c>
      <c r="H109" s="103">
        <f>AVERAGE($B$109:$F$109)</f>
        <v>6.6996996864167449E-2</v>
      </c>
      <c r="I109" s="103">
        <f>AVERAGE($B$109:$F$109)</f>
        <v>6.6996996864167449E-2</v>
      </c>
      <c r="J109" s="103">
        <f>AVERAGE($B$109:$F$109)</f>
        <v>6.6996996864167449E-2</v>
      </c>
      <c r="K109" s="103">
        <f>AVERAGE($B$109:$F$109)</f>
        <v>6.6996996864167449E-2</v>
      </c>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c r="AL109" s="107"/>
      <c r="AM109" s="107"/>
    </row>
    <row r="110" spans="1:39" ht="25" customHeight="1" x14ac:dyDescent="0.35">
      <c r="A110" s="96"/>
      <c r="B110" s="170"/>
      <c r="C110" s="104">
        <f>C109/B109-1</f>
        <v>-0.14681655756567136</v>
      </c>
      <c r="D110" s="104">
        <f>D109/C109-1</f>
        <v>-0.1719259957689292</v>
      </c>
      <c r="E110" s="104">
        <f>E109/D109-1</f>
        <v>0.28943704950376614</v>
      </c>
      <c r="F110" s="104">
        <f>F109/E109-1</f>
        <v>3.3003975111983941E-2</v>
      </c>
      <c r="G110" s="96"/>
      <c r="H110" s="96"/>
      <c r="I110" s="96"/>
      <c r="J110" s="96"/>
      <c r="K110" s="96"/>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c r="AL110" s="107"/>
      <c r="AM110" s="107"/>
    </row>
    <row r="111" spans="1:39" ht="25" customHeight="1" x14ac:dyDescent="0.35">
      <c r="A111" s="96"/>
      <c r="B111" s="170"/>
      <c r="C111" s="170"/>
      <c r="D111" s="170"/>
      <c r="E111" s="170"/>
      <c r="F111" s="170"/>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c r="AL111" s="107"/>
      <c r="AM111" s="107"/>
    </row>
    <row r="112" spans="1:39" ht="25" customHeight="1" x14ac:dyDescent="0.35">
      <c r="A112" s="96" t="s">
        <v>142</v>
      </c>
      <c r="B112" s="170"/>
      <c r="C112" s="170"/>
      <c r="D112" s="170"/>
      <c r="E112" s="170"/>
      <c r="F112" s="178">
        <f t="shared" ref="F112:K112" si="49">E102-F102</f>
        <v>-264.98800000000028</v>
      </c>
      <c r="G112" s="178">
        <f>F102-G102</f>
        <v>-227.40586537262516</v>
      </c>
      <c r="H112" s="178">
        <f t="shared" si="49"/>
        <v>-238.59804396420805</v>
      </c>
      <c r="I112" s="178">
        <f t="shared" si="49"/>
        <v>250.34106525908101</v>
      </c>
      <c r="J112" s="178">
        <f t="shared" si="49"/>
        <v>238.02009057095802</v>
      </c>
      <c r="K112" s="178">
        <f t="shared" si="49"/>
        <v>226.30551426621059</v>
      </c>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c r="AL112" s="107"/>
      <c r="AM112" s="107"/>
    </row>
    <row r="113" spans="1:39" ht="25" customHeight="1" x14ac:dyDescent="0.35">
      <c r="A113" s="96"/>
      <c r="B113" s="170"/>
      <c r="C113" s="170"/>
      <c r="D113" s="170"/>
      <c r="E113" s="170"/>
      <c r="F113" s="170"/>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row>
    <row r="114" spans="1:39" ht="25" customHeight="1" x14ac:dyDescent="0.35">
      <c r="A114" s="96" t="s">
        <v>143</v>
      </c>
      <c r="B114" s="170"/>
      <c r="C114" s="170"/>
      <c r="D114" s="170"/>
      <c r="E114" s="170"/>
      <c r="F114" s="170"/>
      <c r="G114" s="178">
        <f>F105-G105</f>
        <v>-265.91388126947277</v>
      </c>
      <c r="H114" s="178">
        <f>G105-H105</f>
        <v>-66.644546931263903</v>
      </c>
      <c r="I114" s="178">
        <f>H105-I105</f>
        <v>234.80485712802965</v>
      </c>
      <c r="J114" s="178">
        <f>I105-J105</f>
        <v>225.4126628429085</v>
      </c>
      <c r="K114" s="178">
        <f>J105-K105</f>
        <v>216.39615632919231</v>
      </c>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c r="AL114" s="107"/>
      <c r="AM114" s="107"/>
    </row>
    <row r="115" spans="1:39" ht="25" customHeight="1" x14ac:dyDescent="0.35">
      <c r="A115" s="96"/>
      <c r="B115" s="170"/>
      <c r="C115" s="170"/>
      <c r="D115" s="170"/>
      <c r="E115" s="170"/>
      <c r="F115" s="170"/>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c r="AJ115" s="107"/>
      <c r="AK115" s="107"/>
      <c r="AL115" s="107"/>
      <c r="AM115" s="107"/>
    </row>
    <row r="116" spans="1:39" ht="25" customHeight="1" x14ac:dyDescent="0.35">
      <c r="A116" s="96" t="s">
        <v>144</v>
      </c>
      <c r="B116" s="170"/>
      <c r="C116" s="170"/>
      <c r="D116" s="170"/>
      <c r="E116" s="170"/>
      <c r="F116" s="178">
        <f t="shared" ref="F116:K116" si="50">F108-E108</f>
        <v>70.270000000000437</v>
      </c>
      <c r="G116" s="178">
        <f t="shared" si="50"/>
        <v>-287.02572009159803</v>
      </c>
      <c r="H116" s="178">
        <f t="shared" si="50"/>
        <v>-267.79585882268566</v>
      </c>
      <c r="I116" s="178">
        <f t="shared" si="50"/>
        <v>-249.85434050890535</v>
      </c>
      <c r="J116" s="178">
        <f t="shared" si="50"/>
        <v>-233.11485004133147</v>
      </c>
      <c r="K116" s="178">
        <f t="shared" si="50"/>
        <v>-217.49685516412183</v>
      </c>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7"/>
      <c r="AI116" s="107"/>
      <c r="AJ116" s="107"/>
      <c r="AK116" s="107"/>
      <c r="AL116" s="107"/>
      <c r="AM116" s="107"/>
    </row>
    <row r="117" spans="1:39" ht="25" customHeight="1" x14ac:dyDescent="0.35">
      <c r="A117" s="96"/>
      <c r="B117" s="170"/>
      <c r="C117" s="170"/>
      <c r="D117" s="170"/>
      <c r="E117" s="170"/>
      <c r="F117" s="170"/>
      <c r="M117" s="107"/>
      <c r="N117" s="107"/>
      <c r="O117" s="107"/>
      <c r="P117" s="107"/>
      <c r="Q117" s="107"/>
      <c r="R117" s="107"/>
      <c r="S117" s="107"/>
      <c r="T117" s="107"/>
      <c r="U117" s="107"/>
      <c r="V117" s="107"/>
      <c r="W117" s="107"/>
      <c r="X117" s="107"/>
      <c r="Y117" s="107"/>
      <c r="Z117" s="107"/>
      <c r="AA117" s="107"/>
      <c r="AB117" s="107"/>
      <c r="AC117" s="107"/>
      <c r="AD117" s="107"/>
      <c r="AE117" s="107"/>
      <c r="AF117" s="107"/>
      <c r="AG117" s="107"/>
      <c r="AH117" s="107"/>
      <c r="AI117" s="107"/>
      <c r="AJ117" s="107"/>
      <c r="AK117" s="107"/>
      <c r="AL117" s="107"/>
      <c r="AM117" s="107"/>
    </row>
    <row r="118" spans="1:39" ht="25" customHeight="1" x14ac:dyDescent="0.35">
      <c r="A118" s="96" t="s">
        <v>145</v>
      </c>
      <c r="B118" s="170">
        <f>B125</f>
        <v>69</v>
      </c>
      <c r="C118" s="170">
        <f>C125</f>
        <v>16</v>
      </c>
      <c r="D118" s="170">
        <f>D125</f>
        <v>24</v>
      </c>
      <c r="E118" s="170">
        <f>E125</f>
        <v>0</v>
      </c>
      <c r="F118" s="170">
        <f>F125</f>
        <v>-73</v>
      </c>
      <c r="G118" s="179">
        <f>AVERAGE($B$118:$F$118)</f>
        <v>7.2</v>
      </c>
      <c r="H118" s="179">
        <f>AVERAGE($B$118:$F$118)</f>
        <v>7.2</v>
      </c>
      <c r="I118" s="179">
        <f>AVERAGE($B$118:$F$118)</f>
        <v>7.2</v>
      </c>
      <c r="J118" s="179">
        <f>AVERAGE($B$118:$F$118)</f>
        <v>7.2</v>
      </c>
      <c r="K118" s="179">
        <f>AVERAGE($B$118:$F$118)</f>
        <v>7.2</v>
      </c>
      <c r="M118" s="107"/>
      <c r="N118" s="107"/>
      <c r="O118" s="107"/>
      <c r="P118" s="107"/>
      <c r="Q118" s="107"/>
      <c r="R118" s="107"/>
      <c r="S118" s="107"/>
      <c r="T118" s="107"/>
      <c r="U118" s="107"/>
      <c r="V118" s="107"/>
      <c r="W118" s="107"/>
      <c r="X118" s="107"/>
      <c r="Y118" s="107"/>
      <c r="Z118" s="107"/>
      <c r="AA118" s="107"/>
      <c r="AB118" s="107"/>
      <c r="AC118" s="107"/>
      <c r="AD118" s="107"/>
      <c r="AE118" s="107"/>
      <c r="AF118" s="107"/>
      <c r="AG118" s="107"/>
      <c r="AH118" s="107"/>
      <c r="AI118" s="107"/>
      <c r="AJ118" s="107"/>
      <c r="AK118" s="107"/>
      <c r="AL118" s="107"/>
      <c r="AM118" s="107"/>
    </row>
    <row r="119" spans="1:39" ht="25" customHeight="1" x14ac:dyDescent="0.35">
      <c r="A119" s="96"/>
      <c r="B119" s="170"/>
      <c r="C119" s="170"/>
      <c r="D119" s="170"/>
      <c r="E119" s="170"/>
      <c r="F119" s="170"/>
      <c r="M119" s="107"/>
      <c r="N119" s="107"/>
      <c r="O119" s="107"/>
      <c r="P119" s="107"/>
      <c r="Q119" s="107"/>
      <c r="R119" s="107"/>
      <c r="S119" s="107"/>
      <c r="T119" s="107"/>
      <c r="U119" s="107"/>
      <c r="V119" s="107"/>
      <c r="W119" s="107"/>
      <c r="X119" s="107"/>
      <c r="Y119" s="107"/>
      <c r="Z119" s="107"/>
      <c r="AA119" s="107"/>
      <c r="AB119" s="107"/>
      <c r="AC119" s="107"/>
      <c r="AD119" s="107"/>
      <c r="AE119" s="107"/>
      <c r="AF119" s="107"/>
      <c r="AG119" s="107"/>
      <c r="AH119" s="107"/>
      <c r="AI119" s="107"/>
      <c r="AJ119" s="107"/>
      <c r="AK119" s="107"/>
      <c r="AL119" s="107"/>
      <c r="AM119" s="107"/>
    </row>
    <row r="120" spans="1:39" ht="25" customHeight="1" x14ac:dyDescent="0.35">
      <c r="A120" s="96" t="s">
        <v>146</v>
      </c>
      <c r="B120" s="170" t="str">
        <f>B126</f>
        <v>--</v>
      </c>
      <c r="C120" s="170">
        <f>C126</f>
        <v>-4</v>
      </c>
      <c r="D120" s="170">
        <f>D126</f>
        <v>0</v>
      </c>
      <c r="E120" s="170">
        <f>E126</f>
        <v>0</v>
      </c>
      <c r="F120" s="179"/>
      <c r="G120" s="179">
        <f>AVERAGE($B$120:$F$120)</f>
        <v>-1.3333333333333333</v>
      </c>
      <c r="H120" s="179">
        <f>AVERAGE($B$120:$F$120)</f>
        <v>-1.3333333333333333</v>
      </c>
      <c r="I120" s="179">
        <f>AVERAGE($B$120:$F$120)</f>
        <v>-1.3333333333333333</v>
      </c>
      <c r="J120" s="179">
        <f>AVERAGE($B$120:$F$120)</f>
        <v>-1.3333333333333333</v>
      </c>
      <c r="K120" s="179">
        <f>AVERAGE($B$120:$F$120)</f>
        <v>-1.3333333333333333</v>
      </c>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c r="AL120" s="107"/>
      <c r="AM120" s="107"/>
    </row>
    <row r="121" spans="1:39" ht="25" customHeight="1" x14ac:dyDescent="0.35">
      <c r="A121" s="96"/>
      <c r="B121" s="170"/>
      <c r="C121" s="170"/>
      <c r="D121" s="170"/>
      <c r="E121" s="170"/>
      <c r="F121" s="170"/>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c r="AL121" s="107"/>
      <c r="AM121" s="107"/>
    </row>
    <row r="122" spans="1:39" ht="25" customHeight="1" x14ac:dyDescent="0.35">
      <c r="A122" s="96" t="s">
        <v>147</v>
      </c>
      <c r="B122" s="170">
        <f>B134+B85</f>
        <v>-1333.933445116</v>
      </c>
      <c r="C122" s="170">
        <f>C134+C85</f>
        <v>-992.62224233400002</v>
      </c>
      <c r="D122" s="170">
        <f>D134+D85</f>
        <v>-1453.196147101</v>
      </c>
      <c r="E122" s="170">
        <f>E134+E85</f>
        <v>-1407.3004855590002</v>
      </c>
      <c r="F122" s="170">
        <f>F134+F85</f>
        <v>-1262.040642963</v>
      </c>
      <c r="G122" s="179">
        <f>AVERAGE($B$122:$F$122)</f>
        <v>-1289.8185926146002</v>
      </c>
      <c r="H122" s="179">
        <f>AVERAGE($B$122:$F$122)</f>
        <v>-1289.8185926146002</v>
      </c>
      <c r="I122" s="179">
        <f>AVERAGE($B$122:$F$122)</f>
        <v>-1289.8185926146002</v>
      </c>
      <c r="J122" s="179">
        <f>AVERAGE($B$122:$F$122)</f>
        <v>-1289.8185926146002</v>
      </c>
      <c r="K122" s="179">
        <f>AVERAGE($B$122:$F$122)</f>
        <v>-1289.8185926146002</v>
      </c>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c r="AL122" s="107"/>
    </row>
    <row r="123" spans="1:39" ht="25" customHeight="1" x14ac:dyDescent="0.35">
      <c r="B123" s="180"/>
      <c r="C123" s="180"/>
      <c r="D123" s="180"/>
      <c r="E123" s="180"/>
      <c r="F123" s="170"/>
      <c r="L123" s="107"/>
      <c r="M123" s="107"/>
      <c r="N123" s="107"/>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c r="AL123" s="107"/>
    </row>
    <row r="124" spans="1:39" ht="25" customHeight="1" thickBot="1" x14ac:dyDescent="0.4">
      <c r="B124" s="180"/>
      <c r="C124" s="180"/>
      <c r="D124" s="180"/>
      <c r="E124" s="180"/>
      <c r="F124" s="170"/>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c r="AL124" s="107"/>
    </row>
    <row r="125" spans="1:39" ht="25" customHeight="1" thickBot="1" x14ac:dyDescent="0.4">
      <c r="B125" s="181">
        <v>69</v>
      </c>
      <c r="C125" s="181">
        <v>16</v>
      </c>
      <c r="D125" s="181">
        <v>24</v>
      </c>
      <c r="E125" s="181">
        <v>0</v>
      </c>
      <c r="F125" s="181">
        <v>-73</v>
      </c>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c r="AG125" s="107"/>
      <c r="AH125" s="107"/>
      <c r="AI125" s="107"/>
      <c r="AJ125" s="107"/>
      <c r="AK125" s="107"/>
      <c r="AL125" s="107"/>
    </row>
    <row r="126" spans="1:39" ht="25" customHeight="1" x14ac:dyDescent="0.35">
      <c r="B126" s="181" t="s">
        <v>148</v>
      </c>
      <c r="C126" s="181">
        <v>-4</v>
      </c>
      <c r="D126" s="181">
        <v>0</v>
      </c>
      <c r="E126" s="181">
        <v>0</v>
      </c>
      <c r="F126" s="181" t="s">
        <v>148</v>
      </c>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c r="AL126" s="107"/>
    </row>
    <row r="127" spans="1:39" ht="25" customHeight="1" x14ac:dyDescent="0.35">
      <c r="B127" s="180"/>
      <c r="C127" s="180"/>
      <c r="D127" s="180"/>
      <c r="E127" s="180"/>
      <c r="F127" s="170"/>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c r="AL127" s="107"/>
    </row>
    <row r="128" spans="1:39" ht="25" customHeight="1" x14ac:dyDescent="0.35">
      <c r="A128" s="182" t="s">
        <v>149</v>
      </c>
      <c r="B128" s="183"/>
      <c r="C128" s="183"/>
      <c r="D128" s="183"/>
      <c r="E128" s="183"/>
      <c r="F128" s="184">
        <f t="shared" ref="F128:K128" si="51">SUM(F122,F120,F118,F116,F114,F112)</f>
        <v>-1529.7586429629998</v>
      </c>
      <c r="G128" s="184">
        <f>SUM(G122,G120,G118,G116,G114,G112)</f>
        <v>-2064.2973926816294</v>
      </c>
      <c r="H128" s="184">
        <f t="shared" si="51"/>
        <v>-1856.990375666091</v>
      </c>
      <c r="I128" s="184">
        <f t="shared" si="51"/>
        <v>-1048.6603440697281</v>
      </c>
      <c r="J128" s="184">
        <f t="shared" si="51"/>
        <v>-1053.6340225753984</v>
      </c>
      <c r="K128" s="184">
        <f t="shared" si="51"/>
        <v>-1058.7471105166524</v>
      </c>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7"/>
      <c r="AI128" s="107"/>
      <c r="AJ128" s="107"/>
      <c r="AK128" s="107"/>
      <c r="AL128" s="107"/>
    </row>
    <row r="129" spans="1:39" ht="25" customHeight="1" thickBot="1" x14ac:dyDescent="0.4">
      <c r="B129" s="180"/>
      <c r="C129" s="180"/>
      <c r="D129" s="180"/>
      <c r="E129" s="180"/>
      <c r="F129" s="170"/>
      <c r="H129" s="185"/>
      <c r="I129" s="185"/>
      <c r="J129" s="185"/>
      <c r="K129" s="185"/>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c r="AL129" s="107"/>
    </row>
    <row r="130" spans="1:39" ht="25" customHeight="1" x14ac:dyDescent="0.35">
      <c r="B130" s="181">
        <v>-4920</v>
      </c>
      <c r="C130" s="181">
        <v>-2846</v>
      </c>
      <c r="D130" s="181">
        <v>-4910</v>
      </c>
      <c r="E130" s="181">
        <v>-4991</v>
      </c>
      <c r="F130" s="181">
        <v>-3076</v>
      </c>
      <c r="G130" s="186">
        <f>G128/F128-1</f>
        <v>0.34942685382269056</v>
      </c>
      <c r="H130" s="186">
        <f>H128/G128-1</f>
        <v>-0.10042497643531667</v>
      </c>
      <c r="I130" s="186">
        <f>I128/H128-1</f>
        <v>-0.43529037209275778</v>
      </c>
      <c r="J130" s="186">
        <f>J128/I128-1</f>
        <v>4.7428879463182749E-3</v>
      </c>
      <c r="K130" s="186">
        <f>K128/J128-1</f>
        <v>4.8528121071451658E-3</v>
      </c>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c r="AL130" s="107"/>
      <c r="AM130" s="107"/>
    </row>
    <row r="131" spans="1:39" ht="25" customHeight="1" x14ac:dyDescent="0.35">
      <c r="B131" s="180">
        <f>B130+B85</f>
        <v>-3073.9334451160003</v>
      </c>
      <c r="C131" s="180">
        <f>C130+C85</f>
        <v>-604.62224233400002</v>
      </c>
      <c r="D131" s="180">
        <f>D130+D85</f>
        <v>-2627.196147101</v>
      </c>
      <c r="E131" s="180">
        <f>E130+E85</f>
        <v>-2701.3004855590002</v>
      </c>
      <c r="F131" s="180">
        <f>F130+F85</f>
        <v>-1158.040642963</v>
      </c>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c r="AL131" s="107"/>
      <c r="AM131" s="107"/>
    </row>
    <row r="132" spans="1:39" ht="25" customHeight="1" x14ac:dyDescent="0.35">
      <c r="B132" s="180"/>
      <c r="C132" s="180"/>
      <c r="D132" s="180"/>
      <c r="E132" s="180"/>
      <c r="F132" s="170"/>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c r="AL132" s="107"/>
      <c r="AM132" s="107"/>
    </row>
    <row r="133" spans="1:39" ht="25" customHeight="1" thickBot="1" x14ac:dyDescent="0.4">
      <c r="B133" s="180"/>
      <c r="C133" s="180"/>
      <c r="D133" s="180"/>
      <c r="E133" s="180"/>
      <c r="F133" s="170"/>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c r="AL133" s="107"/>
      <c r="AM133" s="107"/>
    </row>
    <row r="134" spans="1:39" ht="25" customHeight="1" x14ac:dyDescent="0.35">
      <c r="B134" s="181">
        <v>-3180</v>
      </c>
      <c r="C134" s="181">
        <v>-3234</v>
      </c>
      <c r="D134" s="181">
        <v>-3736</v>
      </c>
      <c r="E134" s="181">
        <v>-3697</v>
      </c>
      <c r="F134" s="181">
        <v>-3180</v>
      </c>
      <c r="J134" s="187">
        <f>AVERAGE(G130:K130)</f>
        <v>-3.5338558930384088E-2</v>
      </c>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c r="AL134" s="107"/>
      <c r="AM134" s="107"/>
    </row>
    <row r="135" spans="1:39" ht="25" customHeight="1" x14ac:dyDescent="0.35">
      <c r="B135" s="180"/>
      <c r="C135" s="180"/>
      <c r="D135" s="180"/>
      <c r="E135" s="180"/>
      <c r="F135" s="170"/>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c r="AL135" s="107"/>
      <c r="AM135" s="107"/>
    </row>
    <row r="136" spans="1:39" ht="25" customHeight="1" thickBot="1" x14ac:dyDescent="0.4">
      <c r="B136" s="180"/>
      <c r="C136" s="180"/>
      <c r="D136" s="180"/>
      <c r="E136" s="180"/>
      <c r="F136" s="170"/>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c r="AL136" s="107"/>
      <c r="AM136" s="107"/>
    </row>
    <row r="137" spans="1:39" ht="25" customHeight="1" thickBot="1" x14ac:dyDescent="0.4">
      <c r="A137" s="181">
        <v>-3180</v>
      </c>
      <c r="B137" s="181">
        <v>-3234</v>
      </c>
      <c r="C137" s="181">
        <v>-3736</v>
      </c>
      <c r="D137" s="181">
        <v>-3697</v>
      </c>
      <c r="E137" s="181">
        <v>-3180</v>
      </c>
      <c r="F137" s="170"/>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c r="AL137" s="107"/>
      <c r="AM137" s="107"/>
    </row>
    <row r="138" spans="1:39" ht="25" customHeight="1" thickBot="1" x14ac:dyDescent="0.4">
      <c r="A138" s="96"/>
      <c r="B138" s="170"/>
      <c r="C138" s="170"/>
      <c r="D138" s="170"/>
      <c r="E138" s="170"/>
      <c r="F138" s="188">
        <v>33.200000000000003</v>
      </c>
      <c r="G138" s="189">
        <f>F138*(1+$H$63)</f>
        <v>33.200000000000003</v>
      </c>
      <c r="H138" s="189">
        <f>G138*(1+$H$63)</f>
        <v>33.200000000000003</v>
      </c>
      <c r="I138" s="189">
        <f>H138*(1-$H$63)</f>
        <v>33.200000000000003</v>
      </c>
      <c r="J138" s="189">
        <f>I138*(1-$H$63)</f>
        <v>33.200000000000003</v>
      </c>
      <c r="K138" s="189">
        <f>J138*(1-$H$63)</f>
        <v>33.200000000000003</v>
      </c>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row>
    <row r="139" spans="1:39" ht="25" customHeight="1" thickBot="1" x14ac:dyDescent="0.4">
      <c r="A139" s="190" t="s">
        <v>150</v>
      </c>
      <c r="B139" s="188">
        <v>27.8</v>
      </c>
      <c r="C139" s="188">
        <v>25.7</v>
      </c>
      <c r="D139" s="188">
        <v>26.8</v>
      </c>
      <c r="E139" s="188">
        <v>30</v>
      </c>
      <c r="F139" s="191">
        <v>0.107</v>
      </c>
      <c r="G139" s="192">
        <f>AVERAGE(B139:F139)</f>
        <v>22.081399999999999</v>
      </c>
      <c r="H139" s="193"/>
      <c r="I139" s="193"/>
      <c r="J139" s="193"/>
      <c r="K139"/>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row>
    <row r="140" spans="1:39" ht="25" customHeight="1" thickBot="1" x14ac:dyDescent="0.4">
      <c r="A140" s="194" t="s">
        <v>151</v>
      </c>
      <c r="B140" s="191">
        <v>0.14499999999999999</v>
      </c>
      <c r="C140" s="191">
        <v>-7.8E-2</v>
      </c>
      <c r="D140" s="191">
        <v>4.2999999999999997E-2</v>
      </c>
      <c r="E140" s="191">
        <v>0.12</v>
      </c>
      <c r="F140" s="188">
        <v>5.9</v>
      </c>
      <c r="G140" s="193"/>
      <c r="H140" s="193"/>
      <c r="I140" s="193"/>
      <c r="J140" s="193"/>
      <c r="K140"/>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c r="AL140" s="107"/>
      <c r="AM140" s="107"/>
    </row>
    <row r="141" spans="1:39" ht="25" customHeight="1" thickBot="1" x14ac:dyDescent="0.4">
      <c r="A141" s="190" t="s">
        <v>152</v>
      </c>
      <c r="B141" s="188">
        <v>5.9</v>
      </c>
      <c r="C141" s="188">
        <v>5.7</v>
      </c>
      <c r="D141" s="188">
        <v>6.5</v>
      </c>
      <c r="E141" s="188">
        <v>5.9</v>
      </c>
      <c r="F141" s="195" t="s">
        <v>153</v>
      </c>
      <c r="G141" s="193"/>
      <c r="H141" s="193"/>
      <c r="I141" s="193"/>
      <c r="J141" s="193"/>
      <c r="K141"/>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c r="AL141" s="107"/>
      <c r="AM141" s="107"/>
    </row>
    <row r="142" spans="1:39" ht="25" customHeight="1" thickBot="1" x14ac:dyDescent="0.4">
      <c r="A142" s="194" t="s">
        <v>151</v>
      </c>
      <c r="B142" s="195" t="s">
        <v>154</v>
      </c>
      <c r="C142" s="195" t="s">
        <v>155</v>
      </c>
      <c r="D142" s="195" t="s">
        <v>156</v>
      </c>
      <c r="E142" s="195" t="s">
        <v>157</v>
      </c>
      <c r="F142" s="188">
        <v>62.5</v>
      </c>
      <c r="G142" s="189">
        <f>AVERAGE(B142:F142)</f>
        <v>62.5</v>
      </c>
      <c r="H142" s="189">
        <f>G142</f>
        <v>62.5</v>
      </c>
      <c r="I142" s="189">
        <f>H142</f>
        <v>62.5</v>
      </c>
      <c r="J142" s="189">
        <f>I142</f>
        <v>62.5</v>
      </c>
      <c r="K142" s="189">
        <f>J142</f>
        <v>62.5</v>
      </c>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c r="AL142" s="107"/>
      <c r="AM142" s="107"/>
    </row>
    <row r="143" spans="1:39" ht="25" customHeight="1" thickBot="1" x14ac:dyDescent="0.4">
      <c r="A143" s="190" t="s">
        <v>158</v>
      </c>
      <c r="B143" s="188">
        <v>62.5</v>
      </c>
      <c r="C143" s="188">
        <v>64.7</v>
      </c>
      <c r="D143" s="188">
        <v>56.6</v>
      </c>
      <c r="E143" s="188">
        <v>61.7</v>
      </c>
      <c r="F143" s="191">
        <v>1.2999999999999999E-2</v>
      </c>
      <c r="G143" s="196">
        <f>AVERAGE(B143:F143)</f>
        <v>49.102600000000002</v>
      </c>
      <c r="H143" s="193"/>
      <c r="I143" s="193"/>
      <c r="J143" s="193"/>
      <c r="K143"/>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row>
    <row r="144" spans="1:39" ht="25" customHeight="1" thickBot="1" x14ac:dyDescent="0.4">
      <c r="A144" s="194" t="s">
        <v>151</v>
      </c>
      <c r="B144" s="191">
        <v>7.1999999999999995E-2</v>
      </c>
      <c r="C144" s="191">
        <v>3.4000000000000002E-2</v>
      </c>
      <c r="D144" s="191">
        <v>-0.124</v>
      </c>
      <c r="E144" s="191">
        <v>0.09</v>
      </c>
      <c r="F144" s="188">
        <v>43.1</v>
      </c>
      <c r="G144" s="197">
        <f>F144*(1+$H$69)</f>
        <v>43.1</v>
      </c>
      <c r="H144" s="197">
        <f>G144*(1+$H$69)</f>
        <v>43.1</v>
      </c>
      <c r="I144" s="197">
        <f>H144*(1-$H$69)</f>
        <v>43.1</v>
      </c>
      <c r="J144" s="197">
        <f>I144*(1-$H$69)</f>
        <v>43.1</v>
      </c>
      <c r="K144" s="197">
        <f>J144*(1-$H$69)</f>
        <v>43.1</v>
      </c>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row>
    <row r="145" spans="1:39" ht="25" customHeight="1" thickBot="1" x14ac:dyDescent="0.4">
      <c r="A145" s="190" t="s">
        <v>159</v>
      </c>
      <c r="B145" s="188">
        <v>52.1</v>
      </c>
      <c r="C145" s="188">
        <v>47</v>
      </c>
      <c r="D145" s="188">
        <v>39.200000000000003</v>
      </c>
      <c r="E145" s="188">
        <v>39.200000000000003</v>
      </c>
      <c r="F145" s="191">
        <v>0.10100000000000001</v>
      </c>
      <c r="G145" s="192">
        <f>AVERAGE(C145:F145)</f>
        <v>31.375250000000001</v>
      </c>
      <c r="H145" s="193"/>
      <c r="I145" s="193"/>
      <c r="J145" s="193"/>
      <c r="K145"/>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c r="AL145" s="107"/>
      <c r="AM145" s="107"/>
    </row>
    <row r="146" spans="1:39" ht="25" customHeight="1" thickBot="1" x14ac:dyDescent="0.4">
      <c r="A146" s="194" t="s">
        <v>151</v>
      </c>
      <c r="B146" s="191">
        <v>0.16900000000000001</v>
      </c>
      <c r="C146" s="191">
        <v>-9.8000000000000004E-2</v>
      </c>
      <c r="D146" s="191">
        <v>-0.16600000000000001</v>
      </c>
      <c r="E146" s="191">
        <v>-1E-3</v>
      </c>
      <c r="F146" s="170"/>
      <c r="G146" s="181"/>
      <c r="H146" s="181"/>
      <c r="I146" s="181"/>
      <c r="J146" s="181"/>
      <c r="K146" s="181"/>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row>
    <row r="147" spans="1:39" ht="25" customHeight="1" thickBot="1" x14ac:dyDescent="0.4">
      <c r="A147" s="96"/>
      <c r="B147" s="170"/>
      <c r="C147" s="170"/>
      <c r="D147" s="170"/>
      <c r="E147" s="170"/>
      <c r="F147" s="170">
        <f>F138/365*F3</f>
        <v>5453.5545216438368</v>
      </c>
      <c r="G147" s="181"/>
      <c r="H147" s="181"/>
      <c r="I147" s="181"/>
      <c r="J147" s="172"/>
      <c r="K147" s="172"/>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c r="AL147" s="107"/>
      <c r="AM147" s="107"/>
    </row>
    <row r="148" spans="1:39" ht="25" customHeight="1" thickBot="1" x14ac:dyDescent="0.4">
      <c r="A148" s="96" t="s">
        <v>160</v>
      </c>
      <c r="B148" s="170">
        <f>B139/365*B3</f>
        <v>4003.3485205479446</v>
      </c>
      <c r="C148" s="170">
        <f>C139/365*C3</f>
        <v>3965.413044109589</v>
      </c>
      <c r="D148" s="170">
        <f>D139/365*D3</f>
        <v>4378.7738761643841</v>
      </c>
      <c r="E148" s="170">
        <f>E139/365*E3</f>
        <v>5007.054657534246</v>
      </c>
      <c r="F148" s="170"/>
      <c r="G148" s="181"/>
      <c r="H148" s="181"/>
      <c r="I148" s="181"/>
      <c r="J148" s="172"/>
      <c r="K148" s="172"/>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c r="AL148" s="107"/>
      <c r="AM148" s="107"/>
    </row>
    <row r="149" spans="1:39" ht="25" customHeight="1" x14ac:dyDescent="0.35">
      <c r="A149" s="96"/>
      <c r="B149" s="170"/>
      <c r="C149" s="170"/>
      <c r="D149" s="170"/>
      <c r="E149" s="170"/>
      <c r="F149" s="170"/>
      <c r="G149" s="181"/>
      <c r="H149" s="181"/>
      <c r="I149" s="181"/>
      <c r="J149" s="181"/>
      <c r="K149" s="181"/>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c r="AL149" s="107"/>
      <c r="AM149" s="107"/>
    </row>
    <row r="150" spans="1:39" ht="25" customHeight="1" x14ac:dyDescent="0.35">
      <c r="A150" s="96"/>
      <c r="B150" s="170"/>
      <c r="C150" s="170"/>
      <c r="D150" s="170"/>
      <c r="E150" s="170"/>
      <c r="F150" s="170"/>
      <c r="G150" s="170"/>
      <c r="H150" s="170"/>
      <c r="I150" s="170"/>
      <c r="J150" s="170"/>
      <c r="K150" s="170"/>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c r="AL150" s="107"/>
      <c r="AM150" s="107"/>
    </row>
    <row r="151" spans="1:39" ht="25" customHeight="1" x14ac:dyDescent="0.35">
      <c r="A151" s="96"/>
      <c r="B151" s="170"/>
      <c r="C151" s="170"/>
      <c r="D151" s="170"/>
      <c r="E151" s="170"/>
      <c r="F151" s="170"/>
      <c r="G151" s="170"/>
      <c r="H151" s="170"/>
      <c r="I151" s="170"/>
      <c r="J151" s="170"/>
      <c r="K151" s="170"/>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c r="AL151" s="107"/>
      <c r="AM151" s="107"/>
    </row>
    <row r="152" spans="1:39" ht="25" customHeight="1" x14ac:dyDescent="0.35">
      <c r="A152" s="96"/>
      <c r="B152" s="170"/>
      <c r="C152" s="170"/>
      <c r="D152" s="170"/>
      <c r="E152" s="170"/>
      <c r="F152" s="170"/>
      <c r="G152" s="170"/>
      <c r="H152" s="170"/>
      <c r="I152" s="170"/>
      <c r="J152" s="170"/>
      <c r="K152" s="170"/>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c r="AL152" s="107"/>
      <c r="AM152" s="107"/>
    </row>
    <row r="153" spans="1:39" ht="25" customHeight="1" x14ac:dyDescent="0.35">
      <c r="A153" s="96"/>
      <c r="B153" s="170"/>
      <c r="C153" s="170"/>
      <c r="D153" s="170"/>
      <c r="E153" s="170"/>
      <c r="F153" s="170"/>
      <c r="G153" s="170"/>
      <c r="H153" s="170"/>
      <c r="I153" s="170"/>
      <c r="J153" s="170"/>
      <c r="K153" s="170"/>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c r="AL153" s="107"/>
      <c r="AM153" s="107"/>
    </row>
    <row r="154" spans="1:39" ht="25" customHeight="1" x14ac:dyDescent="0.35">
      <c r="A154" s="96"/>
      <c r="B154" s="170"/>
      <c r="C154" s="170"/>
      <c r="D154" s="170"/>
      <c r="E154" s="170"/>
      <c r="F154" s="170"/>
      <c r="G154" s="170"/>
      <c r="H154" s="170"/>
      <c r="I154" s="170"/>
      <c r="J154" s="170"/>
      <c r="K154" s="170"/>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c r="AL154" s="107"/>
      <c r="AM154" s="107"/>
    </row>
    <row r="155" spans="1:39" ht="25" customHeight="1" x14ac:dyDescent="0.35">
      <c r="A155" s="96"/>
      <c r="B155" s="170"/>
      <c r="C155" s="170"/>
      <c r="D155" s="170"/>
      <c r="E155" s="170"/>
      <c r="F155" s="198"/>
      <c r="G155" s="198">
        <v>1</v>
      </c>
      <c r="H155" s="198">
        <v>2</v>
      </c>
      <c r="I155" s="198">
        <v>3</v>
      </c>
      <c r="J155" s="198">
        <v>4</v>
      </c>
      <c r="K155" s="198">
        <v>5</v>
      </c>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row>
    <row r="156" spans="1:39" ht="18" customHeight="1" x14ac:dyDescent="0.35">
      <c r="A156" s="96"/>
      <c r="B156" s="170"/>
      <c r="C156" s="170"/>
      <c r="D156" s="170"/>
      <c r="E156" s="199"/>
      <c r="F156" s="200" t="s">
        <v>25</v>
      </c>
      <c r="G156" s="200" t="s">
        <v>50</v>
      </c>
      <c r="H156" s="200" t="s">
        <v>51</v>
      </c>
      <c r="I156" s="200" t="s">
        <v>52</v>
      </c>
      <c r="J156" s="200" t="s">
        <v>53</v>
      </c>
      <c r="K156" s="200" t="s">
        <v>54</v>
      </c>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c r="AL156" s="107"/>
      <c r="AM156" s="107"/>
    </row>
    <row r="157" spans="1:39" ht="18" customHeight="1" x14ac:dyDescent="0.35">
      <c r="A157" s="96"/>
      <c r="B157" s="170"/>
      <c r="C157" s="170"/>
      <c r="D157" s="170"/>
      <c r="E157" s="199"/>
      <c r="F157" s="201" t="s">
        <v>161</v>
      </c>
      <c r="G157" s="202">
        <f>G89</f>
        <v>11460.362365186556</v>
      </c>
      <c r="H157" s="202">
        <f>H89</f>
        <v>11477.489149209847</v>
      </c>
      <c r="I157" s="202">
        <f>I89</f>
        <v>11338.243432924224</v>
      </c>
      <c r="J157" s="202">
        <f>J89</f>
        <v>11584.563712509269</v>
      </c>
      <c r="K157" s="202">
        <f>K89</f>
        <v>11885.685452146543</v>
      </c>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c r="AL157" s="107"/>
      <c r="AM157" s="107"/>
    </row>
    <row r="158" spans="1:39" ht="18" customHeight="1" x14ac:dyDescent="0.35">
      <c r="A158" s="96"/>
      <c r="B158" s="170"/>
      <c r="C158" s="170"/>
      <c r="D158" s="170"/>
      <c r="E158" s="199"/>
      <c r="F158" s="201" t="s">
        <v>162</v>
      </c>
      <c r="G158" s="202">
        <f>[1]CAPEX!L29</f>
        <v>-1932.7551020408162</v>
      </c>
      <c r="H158" s="202">
        <f>[1]CAPEX!M29</f>
        <v>-2200.3673469387754</v>
      </c>
      <c r="I158" s="202">
        <f>[1]CAPEX!N29</f>
        <v>-2319.3061224489793</v>
      </c>
      <c r="J158" s="202">
        <f>[1]CAPEX!O29</f>
        <v>-2557.1836734693875</v>
      </c>
      <c r="K158" s="202">
        <f>[1]CAPEX!P29</f>
        <v>-2557.1836734693875</v>
      </c>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c r="AL158" s="107"/>
      <c r="AM158" s="107"/>
    </row>
    <row r="159" spans="1:39" ht="18" customHeight="1" x14ac:dyDescent="0.35">
      <c r="A159" s="96"/>
      <c r="B159" s="170"/>
      <c r="C159" s="170"/>
      <c r="D159" s="170"/>
      <c r="E159" s="199"/>
      <c r="F159" s="201" t="s">
        <v>163</v>
      </c>
      <c r="G159" s="202">
        <f>SUM(G97,G100)</f>
        <v>2486.2225204932265</v>
      </c>
      <c r="H159" s="202">
        <f>SUM(H97,H100)</f>
        <v>2642.6507810816283</v>
      </c>
      <c r="I159" s="202">
        <f>SUM(I97,I100)</f>
        <v>2809.9971011161433</v>
      </c>
      <c r="J159" s="202">
        <f>SUM(J97,J100)</f>
        <v>2989.0235169552943</v>
      </c>
      <c r="K159" s="202">
        <f>SUM(K97,K100)</f>
        <v>3180.5452520110894</v>
      </c>
      <c r="L159" s="106" t="s">
        <v>411</v>
      </c>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c r="AL159" s="107"/>
      <c r="AM159" s="107"/>
    </row>
    <row r="160" spans="1:39" ht="18" customHeight="1" x14ac:dyDescent="0.35">
      <c r="A160" s="96"/>
      <c r="B160" s="170"/>
      <c r="C160" s="170"/>
      <c r="D160" s="170"/>
      <c r="E160" s="199"/>
      <c r="F160" s="201" t="s">
        <v>164</v>
      </c>
      <c r="G160" s="202">
        <f>G128</f>
        <v>-2064.2973926816294</v>
      </c>
      <c r="H160" s="202">
        <f>H128</f>
        <v>-1856.990375666091</v>
      </c>
      <c r="I160" s="202">
        <f>I128</f>
        <v>-1048.6603440697281</v>
      </c>
      <c r="J160" s="202">
        <f>J128</f>
        <v>-1053.6340225753984</v>
      </c>
      <c r="K160" s="202">
        <f>K128</f>
        <v>-1058.7471105166524</v>
      </c>
      <c r="L160" s="133">
        <f>K162*(1+G164)/(G163-G164)</f>
        <v>195848.67180959435</v>
      </c>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c r="AL160" s="107"/>
      <c r="AM160" s="107"/>
    </row>
    <row r="161" spans="1:39" ht="18" customHeight="1" x14ac:dyDescent="0.35">
      <c r="A161" s="96"/>
      <c r="B161" s="170"/>
      <c r="C161" s="170"/>
      <c r="D161" s="170"/>
      <c r="E161" s="199"/>
      <c r="F161" s="201" t="s">
        <v>165</v>
      </c>
      <c r="G161" s="202">
        <f>U6</f>
        <v>932.10921735334068</v>
      </c>
      <c r="H161" s="202">
        <f>V6</f>
        <v>67.354131148076704</v>
      </c>
      <c r="I161" s="202">
        <f>W6</f>
        <v>75.579649267618151</v>
      </c>
      <c r="J161" s="202">
        <f>X6</f>
        <v>83.913720083751286</v>
      </c>
      <c r="K161" s="202">
        <f>Y6</f>
        <v>92.408604384919272</v>
      </c>
      <c r="L161" s="133">
        <f>L160/(1+G163)^5</f>
        <v>129082.76125530829</v>
      </c>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c r="AL161" s="107"/>
      <c r="AM161" s="107"/>
    </row>
    <row r="162" spans="1:39" ht="18" customHeight="1" x14ac:dyDescent="0.35">
      <c r="A162" s="96"/>
      <c r="B162" s="170"/>
      <c r="C162" s="170"/>
      <c r="D162" s="170"/>
      <c r="E162" s="199"/>
      <c r="F162" s="203" t="s">
        <v>166</v>
      </c>
      <c r="G162" s="204">
        <f>SUM(G128,G100,G97,G89,U6,[1]CAPEX!L29)</f>
        <v>10881.64160831068</v>
      </c>
      <c r="H162" s="204">
        <f>SUM(H128,H100,H97,H89,V6,[1]CAPEX!M29)</f>
        <v>10130.136338834685</v>
      </c>
      <c r="I162" s="204">
        <f>SUM(I128,I100,I97,I89,W6,[1]CAPEX!N29)</f>
        <v>10855.853716789277</v>
      </c>
      <c r="J162" s="204">
        <f>SUM(J128,J100,J97,J89,X6,[1]CAPEX!O29)</f>
        <v>11046.683253503526</v>
      </c>
      <c r="K162" s="204">
        <f>SUM(K128,K100,K97,K89,Y6,[1]CAPEX!P29)</f>
        <v>11542.708524556512</v>
      </c>
      <c r="M162" s="107"/>
      <c r="N162" s="107"/>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07"/>
      <c r="AJ162" s="107"/>
      <c r="AK162" s="107"/>
      <c r="AL162" s="107"/>
      <c r="AM162" s="107"/>
    </row>
    <row r="163" spans="1:39" ht="18" customHeight="1" x14ac:dyDescent="0.35">
      <c r="A163" s="96"/>
      <c r="B163" s="170"/>
      <c r="C163" s="170"/>
      <c r="D163" s="170"/>
      <c r="E163" s="199"/>
      <c r="F163" s="205" t="s">
        <v>167</v>
      </c>
      <c r="G163" s="430">
        <f>[1]CAPM!M5-1%</f>
        <v>8.6952277172036671E-2</v>
      </c>
      <c r="H163" s="430"/>
      <c r="I163" s="430"/>
      <c r="J163" s="430"/>
      <c r="K163" s="430"/>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c r="AL163" s="107"/>
      <c r="AM163" s="107"/>
    </row>
    <row r="164" spans="1:39" ht="18" customHeight="1" x14ac:dyDescent="0.35">
      <c r="A164" s="96"/>
      <c r="B164" s="170"/>
      <c r="C164" s="170"/>
      <c r="D164" s="170"/>
      <c r="E164" s="199"/>
      <c r="F164" s="205" t="s">
        <v>168</v>
      </c>
      <c r="G164" s="430">
        <v>2.6456159660860699E-2</v>
      </c>
      <c r="H164" s="430"/>
      <c r="I164" s="430"/>
      <c r="J164" s="430"/>
      <c r="K164" s="430"/>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c r="AL164" s="107"/>
      <c r="AM164" s="107"/>
    </row>
    <row r="165" spans="1:39" ht="18" customHeight="1" x14ac:dyDescent="0.35">
      <c r="A165" s="96"/>
      <c r="B165" s="170"/>
      <c r="C165" s="170"/>
      <c r="D165" s="170"/>
      <c r="E165" s="199"/>
      <c r="F165" s="205" t="s">
        <v>169</v>
      </c>
      <c r="G165" s="427">
        <f>L160</f>
        <v>195848.67180959435</v>
      </c>
      <c r="H165" s="427"/>
      <c r="I165" s="427"/>
      <c r="J165" s="427"/>
      <c r="K165" s="42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7"/>
      <c r="AI165" s="107"/>
      <c r="AJ165" s="107"/>
      <c r="AK165" s="107"/>
      <c r="AL165" s="107"/>
      <c r="AM165" s="107"/>
    </row>
    <row r="166" spans="1:39" ht="18" customHeight="1" x14ac:dyDescent="0.35">
      <c r="A166" s="96"/>
      <c r="B166" s="170"/>
      <c r="C166" s="170"/>
      <c r="D166" s="170"/>
      <c r="E166" s="199"/>
      <c r="F166" s="205" t="s">
        <v>99</v>
      </c>
      <c r="G166" s="208">
        <f>G162</f>
        <v>10881.64160831068</v>
      </c>
      <c r="H166" s="208">
        <f t="shared" ref="H166:J166" si="52">H162</f>
        <v>10130.136338834685</v>
      </c>
      <c r="I166" s="208">
        <f t="shared" si="52"/>
        <v>10855.853716789277</v>
      </c>
      <c r="J166" s="208">
        <f t="shared" si="52"/>
        <v>11046.683253503526</v>
      </c>
      <c r="K166" s="208">
        <f>K162+G165</f>
        <v>207391.38033415086</v>
      </c>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07"/>
      <c r="AJ166" s="107"/>
      <c r="AK166" s="107"/>
      <c r="AL166" s="107"/>
      <c r="AM166" s="107"/>
    </row>
    <row r="167" spans="1:39" ht="18" customHeight="1" x14ac:dyDescent="0.35">
      <c r="A167" s="96"/>
      <c r="B167" s="170"/>
      <c r="C167" s="170"/>
      <c r="D167" s="170"/>
      <c r="E167" s="199"/>
      <c r="F167" s="205" t="str">
        <f>F174</f>
        <v>Equity value</v>
      </c>
      <c r="G167" s="427">
        <f>NPV(G163,G166:K166)</f>
        <v>171643.17122531508</v>
      </c>
      <c r="H167" s="427"/>
      <c r="I167" s="427"/>
      <c r="J167" s="427"/>
      <c r="K167" s="427"/>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c r="AL167" s="107"/>
      <c r="AM167" s="107"/>
    </row>
    <row r="168" spans="1:39" ht="18" customHeight="1" x14ac:dyDescent="0.35">
      <c r="A168" s="96"/>
      <c r="B168" s="170"/>
      <c r="C168" s="170"/>
      <c r="D168" s="170"/>
      <c r="E168" s="199"/>
      <c r="F168" s="205" t="s">
        <v>170</v>
      </c>
      <c r="G168" s="427">
        <v>2.09</v>
      </c>
      <c r="H168" s="427"/>
      <c r="I168" s="427"/>
      <c r="J168" s="427"/>
      <c r="K168" s="42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7"/>
      <c r="AI168" s="107"/>
      <c r="AJ168" s="107"/>
      <c r="AK168" s="107"/>
      <c r="AL168" s="107"/>
      <c r="AM168" s="107"/>
    </row>
    <row r="169" spans="1:39" ht="18" customHeight="1" x14ac:dyDescent="0.35">
      <c r="A169" s="96"/>
      <c r="B169" s="170"/>
      <c r="C169" s="170"/>
      <c r="D169" s="170"/>
      <c r="E169" s="199"/>
      <c r="F169" s="205" t="s">
        <v>171</v>
      </c>
      <c r="G169" s="428">
        <f>G167/G168</f>
        <v>82125.919246562247</v>
      </c>
      <c r="H169" s="428"/>
      <c r="I169" s="428"/>
      <c r="J169" s="428"/>
      <c r="K169" s="428"/>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c r="AL169" s="107"/>
      <c r="AM169" s="107"/>
    </row>
    <row r="170" spans="1:39" ht="25" customHeight="1" x14ac:dyDescent="0.35">
      <c r="A170" s="96"/>
      <c r="B170" s="170"/>
      <c r="C170" s="170"/>
      <c r="D170" s="170"/>
      <c r="E170" s="170"/>
      <c r="F170" s="209"/>
      <c r="G170" s="210"/>
      <c r="H170" s="210"/>
      <c r="I170" s="210"/>
      <c r="J170" s="210"/>
      <c r="K170" s="210"/>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c r="AL170" s="107"/>
      <c r="AM170" s="107"/>
    </row>
    <row r="171" spans="1:39" ht="25" customHeight="1" x14ac:dyDescent="0.35">
      <c r="A171" s="96"/>
      <c r="B171" s="170"/>
      <c r="C171" s="170"/>
      <c r="D171" s="170"/>
      <c r="E171" s="170"/>
      <c r="F171" s="170" t="s">
        <v>172</v>
      </c>
      <c r="G171" s="173">
        <f>G162/(1+$G$163)^G155</f>
        <v>10011.14937320141</v>
      </c>
      <c r="H171" s="173">
        <f t="shared" ref="H171:K171" si="53">H162/(1+$G$163)^H155</f>
        <v>8574.2143617026977</v>
      </c>
      <c r="I171" s="173">
        <f t="shared" si="53"/>
        <v>8453.4220505155936</v>
      </c>
      <c r="J171" s="173">
        <f t="shared" si="53"/>
        <v>7913.8897284479563</v>
      </c>
      <c r="K171" s="173">
        <f t="shared" si="53"/>
        <v>7607.7344561391537</v>
      </c>
      <c r="L171" s="109">
        <f>K183*(1+G185)/(G184-G185)</f>
        <v>168067.18841392416</v>
      </c>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c r="AL171" s="107"/>
      <c r="AM171" s="107"/>
    </row>
    <row r="172" spans="1:39" ht="25" customHeight="1" x14ac:dyDescent="0.35">
      <c r="A172" s="96"/>
      <c r="B172" s="170"/>
      <c r="C172" s="170"/>
      <c r="D172" s="170"/>
      <c r="E172" s="170"/>
      <c r="F172" s="170"/>
      <c r="G172" s="173">
        <f>SUM(L161:L161)</f>
        <v>129082.76125530829</v>
      </c>
      <c r="H172" s="96"/>
      <c r="I172" s="96"/>
      <c r="J172" s="173">
        <f>SUM(G171:K171)</f>
        <v>42560.409970006811</v>
      </c>
      <c r="K172" s="96"/>
      <c r="M172" s="107"/>
      <c r="N172" s="107"/>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c r="AL172" s="107"/>
      <c r="AM172" s="107"/>
    </row>
    <row r="173" spans="1:39" ht="25" customHeight="1" x14ac:dyDescent="0.35">
      <c r="A173" s="96" t="s">
        <v>166</v>
      </c>
      <c r="B173" s="170"/>
      <c r="C173" s="170"/>
      <c r="D173" s="170"/>
      <c r="E173" s="170"/>
      <c r="F173" s="170"/>
      <c r="G173" s="211">
        <f>G162</f>
        <v>10881.64160831068</v>
      </c>
      <c r="H173" s="211">
        <f>H162</f>
        <v>10130.136338834685</v>
      </c>
      <c r="I173" s="211">
        <f>I162</f>
        <v>10855.853716789277</v>
      </c>
      <c r="J173" s="211">
        <f>J162</f>
        <v>11046.683253503526</v>
      </c>
      <c r="K173" s="211">
        <f>K162+L160</f>
        <v>207391.38033415086</v>
      </c>
      <c r="M173" s="107"/>
      <c r="N173" s="212">
        <f>AVERAGE(M174:M178)</f>
        <v>6.4240000000000013</v>
      </c>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c r="AL173" s="107"/>
      <c r="AM173" s="107"/>
    </row>
    <row r="174" spans="1:39" ht="25" customHeight="1" x14ac:dyDescent="0.35">
      <c r="A174" s="96"/>
      <c r="B174" s="170"/>
      <c r="C174" s="170"/>
      <c r="D174" s="170"/>
      <c r="E174" s="170"/>
      <c r="F174" s="170" t="s">
        <v>173</v>
      </c>
      <c r="G174" s="213">
        <f>NPV(G163,G173:K173)</f>
        <v>171643.17122531508</v>
      </c>
      <c r="H174" s="96"/>
      <c r="I174" s="96"/>
      <c r="J174" s="96"/>
      <c r="K174" s="96"/>
      <c r="L174" s="214">
        <f>L171/(1+G185)^K182</f>
        <v>147496.22621574131</v>
      </c>
      <c r="M174" s="215">
        <v>5.7</v>
      </c>
      <c r="N174" s="107">
        <f>N173*N175</f>
        <v>2.6456159660860665</v>
      </c>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c r="AL174" s="107"/>
      <c r="AM174" s="107"/>
    </row>
    <row r="175" spans="1:39" ht="25" customHeight="1" x14ac:dyDescent="0.35">
      <c r="A175" s="96"/>
      <c r="B175" s="170"/>
      <c r="C175" s="170"/>
      <c r="D175" s="170"/>
      <c r="E175" s="170"/>
      <c r="F175" s="170" t="s">
        <v>174</v>
      </c>
      <c r="G175" s="96">
        <v>2.09</v>
      </c>
      <c r="H175" s="96"/>
      <c r="I175" s="96"/>
      <c r="J175" s="96"/>
      <c r="K175" s="96"/>
      <c r="L175" s="106" t="s">
        <v>169</v>
      </c>
      <c r="M175" s="215">
        <v>5.8</v>
      </c>
      <c r="N175" s="107">
        <v>0.41183312049907628</v>
      </c>
      <c r="O175" s="107"/>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c r="AL175" s="107"/>
      <c r="AM175" s="107"/>
    </row>
    <row r="176" spans="1:39" ht="25" customHeight="1" x14ac:dyDescent="0.35">
      <c r="A176" s="96"/>
      <c r="B176" s="170"/>
      <c r="C176" s="170"/>
      <c r="D176" s="170"/>
      <c r="E176" s="170"/>
      <c r="F176" s="170" t="s">
        <v>175</v>
      </c>
      <c r="G176" s="173">
        <f>G174/G175</f>
        <v>82125.919246562247</v>
      </c>
      <c r="H176" s="96"/>
      <c r="I176" s="96"/>
      <c r="J176" s="96"/>
      <c r="K176" s="96"/>
      <c r="L176" s="214"/>
      <c r="M176" s="215">
        <v>6.94</v>
      </c>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c r="AL176" s="107"/>
      <c r="AM176" s="107"/>
    </row>
    <row r="177" spans="1:39" ht="25" customHeight="1" x14ac:dyDescent="0.35">
      <c r="A177" s="96"/>
      <c r="B177" s="170"/>
      <c r="C177" s="170"/>
      <c r="D177" s="170"/>
      <c r="E177" s="170"/>
      <c r="F177" s="170"/>
      <c r="G177" s="96"/>
      <c r="H177" s="96"/>
      <c r="I177" s="96"/>
      <c r="J177" s="96"/>
      <c r="K177" s="96"/>
      <c r="M177" s="215">
        <v>6.84</v>
      </c>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c r="AL177" s="107"/>
      <c r="AM177" s="107"/>
    </row>
    <row r="178" spans="1:39" ht="25" customHeight="1" x14ac:dyDescent="0.35">
      <c r="A178" s="96"/>
      <c r="B178" s="170"/>
      <c r="C178" s="170"/>
      <c r="D178" s="170"/>
      <c r="E178" s="170"/>
      <c r="F178" s="170"/>
      <c r="G178" s="96"/>
      <c r="H178" s="96"/>
      <c r="I178" s="96"/>
      <c r="J178" s="96"/>
      <c r="K178" s="96"/>
      <c r="M178" s="215">
        <v>6.84</v>
      </c>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c r="AL178" s="107"/>
      <c r="AM178" s="107"/>
    </row>
    <row r="179" spans="1:39" ht="25" customHeight="1" x14ac:dyDescent="0.35">
      <c r="A179" s="96"/>
      <c r="B179" s="170"/>
      <c r="C179" s="170"/>
      <c r="D179" s="170"/>
      <c r="E179" s="170"/>
      <c r="F179" s="170"/>
      <c r="G179" s="96"/>
      <c r="H179" s="96"/>
      <c r="I179" s="96"/>
      <c r="J179" s="96"/>
      <c r="K179" s="96"/>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c r="AL179" s="107"/>
      <c r="AM179" s="107"/>
    </row>
    <row r="180" spans="1:39" ht="25" customHeight="1" thickBot="1" x14ac:dyDescent="0.4">
      <c r="A180" s="96"/>
      <c r="B180" s="96"/>
      <c r="C180" s="96"/>
      <c r="D180" s="96"/>
      <c r="E180" s="96"/>
      <c r="F180" s="170"/>
      <c r="G180" s="96"/>
      <c r="H180" s="96"/>
      <c r="I180" s="96"/>
      <c r="J180" s="96"/>
      <c r="K180" s="96"/>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c r="AL180" s="107"/>
      <c r="AM180" s="107"/>
    </row>
    <row r="181" spans="1:39" ht="25" customHeight="1" x14ac:dyDescent="0.35">
      <c r="A181" s="171" t="s">
        <v>139</v>
      </c>
      <c r="B181" s="172">
        <v>3368754</v>
      </c>
      <c r="C181" s="172">
        <v>3457704</v>
      </c>
      <c r="D181" s="172">
        <v>4157129</v>
      </c>
      <c r="E181" s="172">
        <v>4355509</v>
      </c>
      <c r="F181" s="170"/>
      <c r="G181" s="96"/>
      <c r="H181" s="96"/>
      <c r="I181" s="96"/>
      <c r="J181" s="96"/>
      <c r="K181" s="96"/>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c r="AL181" s="107"/>
      <c r="AM181" s="107"/>
    </row>
    <row r="182" spans="1:39" ht="25" customHeight="1" x14ac:dyDescent="0.35">
      <c r="A182" s="96"/>
      <c r="B182" s="173">
        <f>B181/B3</f>
        <v>64.091115341040435</v>
      </c>
      <c r="C182" s="104"/>
      <c r="D182" s="104"/>
      <c r="E182" s="104"/>
      <c r="F182" s="170"/>
      <c r="G182" s="96">
        <v>1</v>
      </c>
      <c r="H182" s="96">
        <v>2</v>
      </c>
      <c r="I182" s="96">
        <v>3</v>
      </c>
      <c r="J182" s="96">
        <v>4</v>
      </c>
      <c r="K182" s="96">
        <v>5</v>
      </c>
      <c r="M182" s="107"/>
      <c r="N182" s="107"/>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07"/>
      <c r="AJ182" s="107"/>
      <c r="AK182" s="107"/>
      <c r="AL182" s="107"/>
      <c r="AM182" s="107"/>
    </row>
    <row r="183" spans="1:39" ht="25" customHeight="1" thickBot="1" x14ac:dyDescent="0.4">
      <c r="A183" s="96"/>
      <c r="B183" s="96"/>
      <c r="C183" s="104"/>
      <c r="D183" s="104"/>
      <c r="E183" s="104"/>
      <c r="F183" s="170" t="s">
        <v>176</v>
      </c>
      <c r="G183" s="216">
        <f>SUM(G128,G100,G97,G89,U6,[1]CAPEX!L29)</f>
        <v>10881.64160831068</v>
      </c>
      <c r="H183" s="217">
        <f>SUM(H128,H100,H97,H89,V6,[1]CAPEX!M29)</f>
        <v>10130.136338834685</v>
      </c>
      <c r="I183" s="217">
        <f>SUM(I128,I100,I97,I89,W6,[1]CAPEX!N29)</f>
        <v>10855.853716789277</v>
      </c>
      <c r="J183" s="217">
        <f>SUM(J128,J100,J97,J89,X6,[1]CAPEX!O29)</f>
        <v>11046.683253503526</v>
      </c>
      <c r="K183" s="217">
        <f>SUM(K128,K100,K97,K89,Y6,[1]CAPEX!P29)</f>
        <v>11542.708524556512</v>
      </c>
      <c r="M183" s="107"/>
      <c r="N183" s="107"/>
      <c r="O183" s="107"/>
      <c r="P183" s="107"/>
      <c r="Q183" s="107"/>
      <c r="R183" s="107"/>
      <c r="S183" s="107"/>
      <c r="T183" s="107"/>
      <c r="U183" s="107"/>
      <c r="V183" s="107"/>
      <c r="W183" s="107"/>
      <c r="X183" s="107"/>
      <c r="Y183" s="107"/>
      <c r="Z183" s="107"/>
      <c r="AA183" s="107"/>
      <c r="AB183" s="107"/>
      <c r="AC183" s="107"/>
      <c r="AD183" s="107"/>
      <c r="AE183" s="107"/>
      <c r="AF183" s="107"/>
      <c r="AG183" s="107"/>
      <c r="AH183" s="107"/>
      <c r="AI183" s="107"/>
      <c r="AJ183" s="107"/>
      <c r="AK183" s="107"/>
      <c r="AL183" s="107"/>
      <c r="AM183" s="107"/>
    </row>
    <row r="184" spans="1:39" ht="25" customHeight="1" x14ac:dyDescent="0.35">
      <c r="A184" s="174" t="s">
        <v>140</v>
      </c>
      <c r="B184" s="218">
        <v>5525846</v>
      </c>
      <c r="C184" s="218">
        <v>4983044</v>
      </c>
      <c r="D184" s="218">
        <v>4905069</v>
      </c>
      <c r="E184" s="218">
        <v>6773072</v>
      </c>
      <c r="F184" s="170" t="s">
        <v>177</v>
      </c>
      <c r="G184" s="103">
        <f>[1]CAPM!M5</f>
        <v>9.6952277172036666E-2</v>
      </c>
      <c r="H184" s="96"/>
      <c r="I184" s="96"/>
      <c r="J184" s="96"/>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07"/>
      <c r="AJ184" s="107"/>
      <c r="AK184" s="107"/>
      <c r="AL184" s="107"/>
      <c r="AM184" s="107"/>
    </row>
    <row r="185" spans="1:39" ht="25" customHeight="1" x14ac:dyDescent="0.35">
      <c r="A185" s="219"/>
      <c r="B185" s="220"/>
      <c r="C185" s="220"/>
      <c r="D185" s="220"/>
      <c r="E185" s="220"/>
      <c r="F185" s="170" t="s">
        <v>178</v>
      </c>
      <c r="G185" s="97">
        <f>N174/100</f>
        <v>2.6456159660860665E-2</v>
      </c>
      <c r="H185" s="96"/>
      <c r="I185" s="96"/>
      <c r="J185" s="96"/>
      <c r="K185" s="96"/>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07"/>
      <c r="AJ185" s="107"/>
      <c r="AK185" s="107"/>
      <c r="AL185" s="107"/>
      <c r="AM185" s="107"/>
    </row>
    <row r="186" spans="1:39" ht="25" customHeight="1" thickBot="1" x14ac:dyDescent="0.4">
      <c r="A186" s="219"/>
      <c r="B186" s="220"/>
      <c r="C186" s="220"/>
      <c r="D186" s="220"/>
      <c r="E186" s="220"/>
      <c r="F186" s="170" t="s">
        <v>179</v>
      </c>
      <c r="G186" s="216"/>
      <c r="H186" s="216">
        <f>H183/(1+$G$185)^H182</f>
        <v>9614.672153720132</v>
      </c>
      <c r="I186" s="216">
        <f>I183/(1+$G$185)^I182</f>
        <v>10037.897736682315</v>
      </c>
      <c r="J186" s="216">
        <f>J183/(1+$G$185)^J182</f>
        <v>9951.0814414071174</v>
      </c>
      <c r="K186" s="216">
        <f>K183/(1+$G$185)^K182</f>
        <v>10129.912707811458</v>
      </c>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c r="AL186" s="107"/>
      <c r="AM186" s="107"/>
    </row>
    <row r="187" spans="1:39" ht="25" customHeight="1" x14ac:dyDescent="0.35">
      <c r="A187" s="115" t="s">
        <v>141</v>
      </c>
      <c r="B187" s="116">
        <v>3991065</v>
      </c>
      <c r="C187" s="116">
        <v>3648446</v>
      </c>
      <c r="D187" s="116">
        <v>3199186</v>
      </c>
      <c r="E187" s="116">
        <v>4213888</v>
      </c>
      <c r="F187" s="170" t="s">
        <v>180</v>
      </c>
      <c r="G187" s="216">
        <f>SUM(G176:L176)</f>
        <v>82125.919246562247</v>
      </c>
      <c r="H187" s="96"/>
      <c r="I187" s="96"/>
      <c r="J187" s="96"/>
      <c r="K187" s="96"/>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7"/>
      <c r="AL187" s="107"/>
      <c r="AM187" s="107"/>
    </row>
    <row r="188" spans="1:39" ht="25" customHeight="1" x14ac:dyDescent="0.35">
      <c r="A188" s="219"/>
      <c r="B188" s="220"/>
      <c r="C188" s="220"/>
      <c r="D188" s="220"/>
      <c r="E188" s="220"/>
      <c r="F188" s="170" t="s">
        <v>181</v>
      </c>
      <c r="G188" s="96">
        <v>2.09</v>
      </c>
      <c r="H188" s="96"/>
      <c r="I188" s="96"/>
      <c r="J188" s="96"/>
      <c r="K188" s="96"/>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7"/>
      <c r="AL188" s="107"/>
      <c r="AM188" s="107"/>
    </row>
    <row r="189" spans="1:39" ht="25" customHeight="1" thickBot="1" x14ac:dyDescent="0.4">
      <c r="A189" s="96"/>
      <c r="B189" s="96"/>
      <c r="C189" s="104"/>
      <c r="D189" s="104"/>
      <c r="E189" s="104"/>
      <c r="F189" s="96" t="s">
        <v>182</v>
      </c>
      <c r="G189" s="173">
        <f>G187/G188</f>
        <v>39294.69820409677</v>
      </c>
      <c r="H189" s="96"/>
      <c r="I189" s="96"/>
      <c r="J189" s="96"/>
      <c r="K189" s="96"/>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7"/>
      <c r="AL189" s="107"/>
      <c r="AM189" s="107"/>
    </row>
    <row r="190" spans="1:39" ht="25" customHeight="1" thickBot="1" x14ac:dyDescent="0.4">
      <c r="A190" s="174" t="s">
        <v>183</v>
      </c>
      <c r="B190" s="218">
        <v>-2150</v>
      </c>
      <c r="C190" s="218">
        <v>-2818</v>
      </c>
      <c r="D190" s="172">
        <v>-2309</v>
      </c>
      <c r="E190" s="218">
        <v>-3474</v>
      </c>
      <c r="F190" s="172">
        <v>4620497</v>
      </c>
      <c r="G190" s="96"/>
      <c r="H190" s="96"/>
      <c r="I190" s="96"/>
      <c r="J190" s="96"/>
      <c r="K190" s="96"/>
      <c r="M190" s="107"/>
      <c r="N190" s="107"/>
      <c r="O190" s="107"/>
      <c r="P190" s="107"/>
      <c r="Q190" s="107"/>
      <c r="R190" s="107"/>
      <c r="S190" s="107"/>
      <c r="T190" s="107"/>
      <c r="U190" s="107"/>
      <c r="V190" s="107"/>
      <c r="W190" s="107"/>
      <c r="X190" s="107"/>
      <c r="Y190" s="107"/>
      <c r="Z190" s="107"/>
      <c r="AA190" s="107"/>
      <c r="AB190" s="107"/>
      <c r="AC190" s="107"/>
      <c r="AD190" s="107"/>
      <c r="AE190" s="107"/>
      <c r="AF190" s="107"/>
      <c r="AG190" s="107"/>
      <c r="AH190" s="107"/>
      <c r="AI190" s="107"/>
      <c r="AJ190" s="107"/>
      <c r="AK190" s="107"/>
      <c r="AL190" s="107"/>
      <c r="AM190" s="107"/>
    </row>
    <row r="191" spans="1:39" ht="25" customHeight="1" thickBot="1" x14ac:dyDescent="0.4">
      <c r="A191" s="221" t="s">
        <v>184</v>
      </c>
      <c r="B191" s="222">
        <v>-38</v>
      </c>
      <c r="C191" s="222">
        <v>-88</v>
      </c>
      <c r="D191" s="172">
        <v>166</v>
      </c>
      <c r="E191" s="222">
        <v>-183</v>
      </c>
      <c r="F191" s="104"/>
      <c r="G191" s="96"/>
      <c r="H191" s="96"/>
      <c r="I191" s="96"/>
      <c r="J191" s="96"/>
      <c r="K191" s="96"/>
      <c r="M191" s="107"/>
      <c r="N191" s="107"/>
      <c r="O191" s="107"/>
      <c r="P191" s="107"/>
      <c r="Q191" s="107"/>
      <c r="R191" s="107"/>
      <c r="S191" s="107"/>
      <c r="T191" s="107"/>
      <c r="U191" s="107"/>
      <c r="V191" s="107"/>
      <c r="W191" s="107"/>
      <c r="X191" s="107"/>
      <c r="Y191" s="107"/>
      <c r="Z191" s="107"/>
      <c r="AA191" s="107"/>
      <c r="AB191" s="107"/>
      <c r="AC191" s="107"/>
      <c r="AD191" s="107"/>
      <c r="AE191" s="107"/>
      <c r="AF191" s="107"/>
      <c r="AG191" s="107"/>
      <c r="AH191" s="107"/>
      <c r="AI191" s="107"/>
      <c r="AJ191" s="107"/>
      <c r="AK191" s="107"/>
      <c r="AL191" s="107"/>
      <c r="AM191" s="107"/>
    </row>
    <row r="192" spans="1:39" ht="25" customHeight="1" thickBot="1" x14ac:dyDescent="0.4">
      <c r="A192" s="221" t="s">
        <v>185</v>
      </c>
      <c r="B192" s="222">
        <v>259</v>
      </c>
      <c r="C192" s="222">
        <v>-545</v>
      </c>
      <c r="D192" s="172">
        <v>-499</v>
      </c>
      <c r="E192" s="222">
        <v>-1037</v>
      </c>
      <c r="F192" s="104"/>
      <c r="G192" s="96"/>
      <c r="H192" s="96"/>
      <c r="I192" s="96"/>
      <c r="J192" s="96"/>
      <c r="K192" s="96"/>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c r="AL192" s="107"/>
      <c r="AM192" s="107"/>
    </row>
    <row r="193" spans="1:39" ht="25" customHeight="1" thickBot="1" x14ac:dyDescent="0.4">
      <c r="A193" s="223" t="s">
        <v>146</v>
      </c>
      <c r="B193" s="222">
        <v>-28</v>
      </c>
      <c r="C193" s="222">
        <v>6</v>
      </c>
      <c r="D193" s="172">
        <v>-36</v>
      </c>
      <c r="E193" s="222">
        <v>84</v>
      </c>
      <c r="F193" s="172">
        <v>5537563</v>
      </c>
      <c r="G193" s="96"/>
      <c r="H193" s="96"/>
      <c r="I193" s="96"/>
      <c r="J193" s="96"/>
      <c r="K193" s="96"/>
      <c r="M193" s="107"/>
      <c r="N193" s="107"/>
      <c r="O193" s="107"/>
      <c r="P193" s="107"/>
      <c r="Q193" s="107"/>
      <c r="R193" s="107"/>
      <c r="S193" s="107"/>
      <c r="T193" s="107"/>
      <c r="U193" s="107"/>
      <c r="V193" s="107"/>
      <c r="W193" s="107"/>
      <c r="X193" s="107"/>
      <c r="Y193" s="107"/>
      <c r="Z193" s="107"/>
      <c r="AA193" s="107"/>
      <c r="AB193" s="107"/>
      <c r="AC193" s="107"/>
      <c r="AD193" s="107"/>
      <c r="AE193" s="107"/>
      <c r="AF193" s="107"/>
      <c r="AG193" s="107"/>
      <c r="AH193" s="107"/>
      <c r="AI193" s="107"/>
      <c r="AJ193" s="107"/>
      <c r="AK193" s="107"/>
      <c r="AL193" s="107"/>
      <c r="AM193" s="107"/>
    </row>
    <row r="194" spans="1:39" ht="25" customHeight="1" thickBot="1" x14ac:dyDescent="0.4">
      <c r="A194" s="223" t="s">
        <v>145</v>
      </c>
      <c r="B194" s="222" t="s">
        <v>148</v>
      </c>
      <c r="C194" s="222">
        <v>10</v>
      </c>
      <c r="D194" s="172">
        <v>124</v>
      </c>
      <c r="E194" s="222">
        <v>11</v>
      </c>
      <c r="F194" s="224"/>
      <c r="G194" s="96"/>
      <c r="H194" s="96"/>
      <c r="I194" s="96"/>
      <c r="J194" s="96"/>
      <c r="K194" s="96"/>
      <c r="M194" s="107"/>
      <c r="N194" s="107"/>
      <c r="O194" s="107"/>
      <c r="P194" s="107"/>
      <c r="Q194" s="107"/>
      <c r="R194" s="107"/>
      <c r="S194" s="107"/>
      <c r="T194" s="107"/>
      <c r="U194" s="107"/>
      <c r="V194" s="107"/>
      <c r="W194" s="107"/>
      <c r="X194" s="107"/>
      <c r="Y194" s="107"/>
      <c r="Z194" s="107"/>
      <c r="AA194" s="107"/>
      <c r="AB194" s="107"/>
      <c r="AC194" s="107"/>
      <c r="AD194" s="107"/>
      <c r="AE194" s="107"/>
      <c r="AF194" s="107"/>
      <c r="AG194" s="107"/>
      <c r="AH194" s="107"/>
      <c r="AI194" s="107"/>
      <c r="AJ194" s="107"/>
      <c r="AK194" s="107"/>
      <c r="AL194" s="107"/>
      <c r="AM194" s="107"/>
    </row>
    <row r="195" spans="1:39" ht="25" customHeight="1" thickBot="1" x14ac:dyDescent="0.4">
      <c r="A195" s="221" t="s">
        <v>141</v>
      </c>
      <c r="B195" s="222">
        <v>-272</v>
      </c>
      <c r="C195" s="222">
        <v>-41</v>
      </c>
      <c r="D195" s="172">
        <v>484</v>
      </c>
      <c r="E195" s="222">
        <v>330</v>
      </c>
      <c r="F195" s="224"/>
      <c r="G195" s="96"/>
      <c r="H195" s="96"/>
      <c r="I195" s="96"/>
      <c r="J195" s="96"/>
      <c r="K195" s="96"/>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7"/>
      <c r="AL195" s="107"/>
      <c r="AM195" s="107"/>
    </row>
    <row r="196" spans="1:39" ht="25" customHeight="1" x14ac:dyDescent="0.35">
      <c r="A196" s="96"/>
      <c r="B196" s="96"/>
      <c r="C196" s="96"/>
      <c r="D196" s="96"/>
      <c r="E196" s="96"/>
      <c r="F196" s="116">
        <v>4284158</v>
      </c>
      <c r="G196" s="96"/>
      <c r="H196" s="96"/>
      <c r="I196" s="96"/>
      <c r="J196" s="96"/>
      <c r="K196" s="96"/>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7"/>
      <c r="AL196" s="107"/>
      <c r="AM196" s="107"/>
    </row>
    <row r="197" spans="1:39" ht="25" customHeight="1" x14ac:dyDescent="0.35">
      <c r="A197" s="96" t="s">
        <v>186</v>
      </c>
      <c r="B197" s="96"/>
      <c r="C197" s="96"/>
      <c r="D197" s="96"/>
      <c r="E197" s="96"/>
      <c r="F197" s="224"/>
      <c r="G197" s="96"/>
      <c r="H197" s="96"/>
      <c r="I197" s="96"/>
      <c r="J197" s="96"/>
      <c r="K197" s="96"/>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7"/>
      <c r="AL197" s="107"/>
      <c r="AM197" s="107"/>
    </row>
    <row r="198" spans="1:39" ht="25" customHeight="1" thickBot="1" x14ac:dyDescent="0.4">
      <c r="B198" s="225"/>
      <c r="C198" s="225"/>
      <c r="D198" s="225"/>
      <c r="E198" s="225"/>
      <c r="F198" s="104"/>
      <c r="G198" s="96"/>
      <c r="H198" s="96"/>
      <c r="I198" s="96"/>
      <c r="J198" s="96"/>
      <c r="K198" s="96"/>
      <c r="M198" s="107"/>
      <c r="N198" s="107"/>
      <c r="O198" s="107"/>
      <c r="P198" s="107"/>
      <c r="Q198" s="107"/>
      <c r="R198" s="107"/>
      <c r="S198" s="107"/>
      <c r="T198" s="107"/>
      <c r="U198" s="107"/>
      <c r="V198" s="107"/>
      <c r="W198" s="107"/>
      <c r="X198" s="107"/>
      <c r="Y198" s="107"/>
      <c r="Z198" s="107"/>
      <c r="AA198" s="107"/>
      <c r="AB198" s="107"/>
      <c r="AC198" s="107"/>
      <c r="AD198" s="107"/>
      <c r="AE198" s="107"/>
      <c r="AF198" s="107"/>
      <c r="AG198" s="107"/>
      <c r="AH198" s="107"/>
      <c r="AI198" s="107"/>
      <c r="AJ198" s="107"/>
      <c r="AK198" s="107"/>
      <c r="AL198" s="107"/>
      <c r="AM198" s="107"/>
    </row>
    <row r="199" spans="1:39" ht="25" customHeight="1" thickBot="1" x14ac:dyDescent="0.4">
      <c r="B199" s="96"/>
      <c r="C199" s="96"/>
      <c r="D199" s="96"/>
      <c r="E199" s="96"/>
      <c r="F199" s="218">
        <v>-3169</v>
      </c>
      <c r="G199" s="96"/>
      <c r="H199" s="96"/>
      <c r="I199" s="96"/>
      <c r="J199" s="96"/>
      <c r="K199" s="96"/>
      <c r="M199" s="107"/>
      <c r="N199" s="107"/>
      <c r="O199" s="107"/>
      <c r="P199" s="107"/>
      <c r="Q199" s="107"/>
      <c r="R199" s="107"/>
      <c r="S199" s="107"/>
      <c r="T199" s="107"/>
      <c r="U199" s="107"/>
      <c r="V199" s="107"/>
      <c r="W199" s="107"/>
      <c r="X199" s="107"/>
      <c r="Y199" s="107"/>
      <c r="Z199" s="107"/>
      <c r="AA199" s="107"/>
      <c r="AB199" s="107"/>
      <c r="AC199" s="107"/>
      <c r="AD199" s="107"/>
      <c r="AE199" s="107"/>
      <c r="AF199" s="107"/>
      <c r="AG199" s="107"/>
      <c r="AH199" s="107"/>
      <c r="AI199" s="107"/>
      <c r="AJ199" s="107"/>
      <c r="AK199" s="107"/>
      <c r="AL199" s="107"/>
      <c r="AM199" s="107"/>
    </row>
    <row r="200" spans="1:39" ht="25" customHeight="1" thickBot="1" x14ac:dyDescent="0.4">
      <c r="B200" s="96"/>
      <c r="C200" s="96"/>
      <c r="D200" s="96"/>
      <c r="E200" s="96"/>
      <c r="F200" s="222">
        <v>-1599</v>
      </c>
      <c r="G200" s="96"/>
      <c r="H200" s="96"/>
      <c r="I200" s="96"/>
      <c r="J200" s="96"/>
      <c r="K200" s="96"/>
      <c r="M200" s="107"/>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7"/>
      <c r="AI200" s="107"/>
      <c r="AJ200" s="107"/>
      <c r="AK200" s="107"/>
      <c r="AL200" s="107"/>
      <c r="AM200" s="107"/>
    </row>
    <row r="201" spans="1:39" ht="25" customHeight="1" thickBot="1" x14ac:dyDescent="0.4">
      <c r="A201" s="177" t="s">
        <v>187</v>
      </c>
      <c r="B201" s="96"/>
      <c r="C201" s="96"/>
      <c r="D201" s="96"/>
      <c r="E201" s="96"/>
      <c r="F201" s="222">
        <v>318</v>
      </c>
      <c r="G201" s="96"/>
      <c r="H201" s="96"/>
      <c r="I201" s="96"/>
      <c r="J201" s="96"/>
      <c r="K201" s="96"/>
      <c r="M201" s="107"/>
      <c r="N201" s="107"/>
      <c r="O201" s="107"/>
      <c r="P201" s="107"/>
      <c r="Q201" s="107"/>
      <c r="R201" s="107"/>
      <c r="S201" s="107"/>
      <c r="T201" s="107"/>
      <c r="U201" s="107"/>
      <c r="V201" s="107"/>
      <c r="W201" s="107"/>
      <c r="X201" s="107"/>
      <c r="Y201" s="107"/>
      <c r="Z201" s="107"/>
      <c r="AA201" s="107"/>
      <c r="AB201" s="107"/>
      <c r="AC201" s="107"/>
      <c r="AD201" s="107"/>
      <c r="AE201" s="107"/>
      <c r="AF201" s="107"/>
      <c r="AG201" s="107"/>
      <c r="AH201" s="107"/>
      <c r="AI201" s="107"/>
      <c r="AJ201" s="107"/>
      <c r="AK201" s="107"/>
      <c r="AL201" s="107"/>
      <c r="AM201" s="107"/>
    </row>
    <row r="202" spans="1:39" ht="25" customHeight="1" thickBot="1" x14ac:dyDescent="0.4">
      <c r="A202" s="177" t="s">
        <v>188</v>
      </c>
      <c r="B202" s="96"/>
      <c r="C202" s="96"/>
      <c r="D202" s="96"/>
      <c r="E202" s="96"/>
      <c r="F202" s="222">
        <v>-10</v>
      </c>
      <c r="G202" s="96">
        <v>28276558.719999999</v>
      </c>
      <c r="H202" s="96"/>
      <c r="I202" s="96"/>
      <c r="J202" s="96"/>
      <c r="K202" s="96"/>
      <c r="M202" s="107"/>
      <c r="N202" s="107"/>
      <c r="O202" s="107"/>
      <c r="P202" s="107"/>
      <c r="Q202" s="107"/>
      <c r="R202" s="107"/>
      <c r="S202" s="107"/>
      <c r="T202" s="107"/>
      <c r="U202" s="107"/>
      <c r="V202" s="107"/>
      <c r="W202" s="107"/>
      <c r="X202" s="107"/>
      <c r="Y202" s="107"/>
      <c r="Z202" s="107"/>
      <c r="AA202" s="107"/>
      <c r="AB202" s="107"/>
      <c r="AC202" s="107"/>
      <c r="AD202" s="107"/>
      <c r="AE202" s="107"/>
      <c r="AF202" s="107"/>
      <c r="AG202" s="107"/>
      <c r="AH202" s="107"/>
      <c r="AI202" s="107"/>
      <c r="AJ202" s="107"/>
      <c r="AK202" s="107"/>
      <c r="AL202" s="107"/>
      <c r="AM202" s="107"/>
    </row>
    <row r="203" spans="1:39" ht="25" customHeight="1" thickBot="1" x14ac:dyDescent="0.4">
      <c r="A203" s="177" t="s">
        <v>186</v>
      </c>
      <c r="B203" s="96"/>
      <c r="C203" s="96"/>
      <c r="D203" s="96"/>
      <c r="E203" s="96"/>
      <c r="F203" s="222">
        <v>0</v>
      </c>
      <c r="G203" s="96"/>
      <c r="H203" s="96"/>
      <c r="I203" s="96"/>
      <c r="J203" s="96"/>
      <c r="K203" s="96"/>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7"/>
      <c r="AI203" s="107"/>
      <c r="AJ203" s="107"/>
      <c r="AK203" s="107"/>
      <c r="AL203" s="107"/>
      <c r="AM203" s="107"/>
    </row>
    <row r="204" spans="1:39" ht="25" customHeight="1" x14ac:dyDescent="0.35">
      <c r="A204" s="177" t="s">
        <v>189</v>
      </c>
      <c r="B204" s="96"/>
      <c r="C204" s="96"/>
      <c r="D204" s="96"/>
      <c r="E204" s="96"/>
      <c r="F204" s="222">
        <v>959</v>
      </c>
      <c r="G204" s="96"/>
      <c r="H204" s="96"/>
      <c r="I204" s="96"/>
      <c r="J204" s="96"/>
      <c r="K204" s="96"/>
      <c r="M204" s="107"/>
      <c r="N204" s="107"/>
      <c r="O204" s="107"/>
      <c r="P204" s="107"/>
      <c r="Q204" s="107"/>
      <c r="R204" s="107"/>
      <c r="S204" s="107"/>
      <c r="T204" s="107"/>
      <c r="U204" s="107"/>
      <c r="V204" s="107"/>
      <c r="W204" s="107"/>
      <c r="X204" s="107"/>
      <c r="Y204" s="107"/>
      <c r="Z204" s="107"/>
      <c r="AA204" s="107"/>
      <c r="AB204" s="107"/>
      <c r="AC204" s="107"/>
      <c r="AD204" s="107"/>
      <c r="AE204" s="107"/>
      <c r="AF204" s="107"/>
      <c r="AG204" s="107"/>
      <c r="AH204" s="107"/>
      <c r="AI204" s="107"/>
      <c r="AJ204" s="107"/>
      <c r="AK204" s="107"/>
      <c r="AL204" s="107"/>
      <c r="AM204" s="107"/>
    </row>
    <row r="205" spans="1:39" ht="25" customHeight="1" x14ac:dyDescent="0.35">
      <c r="A205" s="177" t="s">
        <v>190</v>
      </c>
      <c r="B205" s="96"/>
      <c r="C205" s="96"/>
      <c r="D205" s="96"/>
      <c r="E205" s="96"/>
      <c r="F205" s="96"/>
      <c r="G205" s="96"/>
      <c r="H205" s="96"/>
      <c r="I205" s="96"/>
      <c r="J205" s="96"/>
      <c r="K205" s="96"/>
      <c r="N205" s="107"/>
      <c r="O205" s="107"/>
      <c r="P205" s="107"/>
      <c r="Q205" s="107"/>
      <c r="R205" s="107"/>
      <c r="S205" s="107"/>
      <c r="T205" s="107"/>
      <c r="U205" s="107"/>
      <c r="V205" s="107"/>
      <c r="W205" s="107"/>
      <c r="X205" s="107"/>
      <c r="Y205" s="107"/>
      <c r="Z205" s="107"/>
      <c r="AA205" s="107"/>
      <c r="AB205" s="107"/>
      <c r="AC205" s="107"/>
      <c r="AD205" s="107"/>
      <c r="AE205" s="107"/>
      <c r="AF205" s="107"/>
      <c r="AG205" s="107"/>
      <c r="AH205" s="107"/>
      <c r="AI205" s="107"/>
      <c r="AJ205" s="107"/>
      <c r="AK205" s="107"/>
      <c r="AL205" s="107"/>
      <c r="AM205" s="107"/>
    </row>
    <row r="206" spans="1:39" ht="25" customHeight="1" x14ac:dyDescent="0.35">
      <c r="A206" s="177" t="s">
        <v>191</v>
      </c>
      <c r="B206" s="96"/>
      <c r="C206" s="96"/>
      <c r="D206" s="96"/>
      <c r="E206" s="96"/>
      <c r="F206" s="96"/>
      <c r="G206" s="96"/>
      <c r="H206" s="96"/>
      <c r="I206" s="96"/>
      <c r="J206" s="96"/>
      <c r="K206" s="96"/>
      <c r="N206" s="107"/>
      <c r="O206" s="107"/>
      <c r="P206" s="107"/>
      <c r="Q206" s="107"/>
      <c r="R206" s="107"/>
      <c r="S206" s="107"/>
      <c r="T206" s="107"/>
      <c r="U206" s="107"/>
      <c r="V206" s="107"/>
      <c r="W206" s="107"/>
      <c r="X206" s="107"/>
      <c r="Y206" s="107"/>
      <c r="Z206" s="107"/>
      <c r="AA206" s="107"/>
      <c r="AB206" s="107"/>
      <c r="AC206" s="107"/>
      <c r="AD206" s="107"/>
      <c r="AE206" s="107"/>
      <c r="AF206" s="107"/>
      <c r="AG206" s="107"/>
      <c r="AH206" s="107"/>
      <c r="AI206" s="107"/>
      <c r="AJ206" s="107"/>
      <c r="AK206" s="107"/>
      <c r="AL206" s="107"/>
      <c r="AM206" s="107"/>
    </row>
    <row r="207" spans="1:39" ht="25" customHeight="1" x14ac:dyDescent="0.35">
      <c r="A207" s="177" t="s">
        <v>192</v>
      </c>
      <c r="B207" s="96"/>
      <c r="C207" s="96"/>
      <c r="D207" s="96"/>
      <c r="E207" s="96"/>
      <c r="F207" s="225"/>
      <c r="G207" s="96"/>
      <c r="H207" s="96"/>
      <c r="I207" s="96"/>
      <c r="J207" s="96"/>
      <c r="K207" s="96"/>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7"/>
      <c r="AI207" s="107"/>
      <c r="AJ207" s="107"/>
      <c r="AK207" s="107"/>
      <c r="AL207" s="107"/>
      <c r="AM207" s="107"/>
    </row>
    <row r="208" spans="1:39" ht="25" customHeight="1" x14ac:dyDescent="0.35">
      <c r="B208" s="96"/>
      <c r="C208" s="96"/>
      <c r="D208" s="96"/>
      <c r="E208" s="96"/>
      <c r="F208" s="96"/>
      <c r="G208" s="96"/>
      <c r="H208" s="96"/>
      <c r="I208" s="96"/>
      <c r="J208" s="96"/>
      <c r="K208" s="96"/>
      <c r="N208" s="107"/>
      <c r="O208" s="107"/>
      <c r="P208" s="107"/>
      <c r="Q208" s="107"/>
      <c r="R208" s="107"/>
      <c r="S208" s="107"/>
      <c r="T208" s="107"/>
      <c r="U208" s="107"/>
      <c r="V208" s="107"/>
      <c r="W208" s="107"/>
      <c r="X208" s="107"/>
      <c r="Y208" s="107"/>
      <c r="Z208" s="107"/>
      <c r="AA208" s="107"/>
      <c r="AB208" s="107"/>
      <c r="AC208" s="107"/>
      <c r="AD208" s="107"/>
      <c r="AE208" s="107"/>
      <c r="AF208" s="107"/>
      <c r="AG208" s="107"/>
      <c r="AH208" s="107"/>
      <c r="AI208" s="107"/>
      <c r="AJ208" s="107"/>
      <c r="AK208" s="107"/>
      <c r="AL208" s="107"/>
      <c r="AM208" s="107"/>
    </row>
    <row r="209" spans="1:39" ht="25" customHeight="1" x14ac:dyDescent="0.35">
      <c r="B209" s="96"/>
      <c r="C209" s="96"/>
      <c r="D209" s="96"/>
      <c r="E209" s="96"/>
      <c r="F209" s="96"/>
      <c r="G209" s="96"/>
      <c r="H209" s="96"/>
      <c r="I209" s="96"/>
      <c r="J209" s="96"/>
      <c r="K209" s="96"/>
      <c r="N209" s="107"/>
      <c r="O209" s="107"/>
      <c r="P209" s="107"/>
      <c r="Q209" s="107"/>
      <c r="R209" s="107"/>
      <c r="S209" s="107"/>
      <c r="T209" s="107"/>
      <c r="U209" s="107"/>
      <c r="V209" s="107"/>
      <c r="W209" s="107"/>
      <c r="X209" s="107"/>
      <c r="Y209" s="107"/>
      <c r="Z209" s="107"/>
      <c r="AA209" s="107"/>
      <c r="AB209" s="107"/>
      <c r="AC209" s="107"/>
      <c r="AD209" s="107"/>
      <c r="AE209" s="107"/>
      <c r="AF209" s="107"/>
      <c r="AG209" s="107"/>
      <c r="AH209" s="107"/>
      <c r="AI209" s="107"/>
      <c r="AJ209" s="107"/>
      <c r="AK209" s="107"/>
      <c r="AL209" s="107"/>
      <c r="AM209" s="107"/>
    </row>
    <row r="210" spans="1:39" ht="25" customHeight="1" x14ac:dyDescent="0.35">
      <c r="B210" s="96"/>
      <c r="C210" s="96"/>
      <c r="D210" s="96"/>
      <c r="E210" s="96"/>
      <c r="F210" s="96"/>
      <c r="G210" s="96"/>
      <c r="H210" s="96"/>
      <c r="I210" s="96"/>
      <c r="J210" s="96"/>
      <c r="K210" s="96"/>
      <c r="N210" s="107"/>
      <c r="O210" s="107"/>
      <c r="P210" s="107"/>
      <c r="Q210" s="107"/>
      <c r="R210" s="107"/>
      <c r="S210" s="107"/>
      <c r="T210" s="107"/>
      <c r="U210" s="107"/>
      <c r="V210" s="107"/>
      <c r="W210" s="107"/>
      <c r="X210" s="107"/>
      <c r="Y210" s="107"/>
      <c r="Z210" s="107"/>
      <c r="AA210" s="107"/>
      <c r="AB210" s="107"/>
      <c r="AC210" s="107"/>
      <c r="AD210" s="107"/>
      <c r="AE210" s="107"/>
      <c r="AF210" s="107"/>
      <c r="AG210" s="107"/>
      <c r="AH210" s="107"/>
      <c r="AI210" s="107"/>
      <c r="AJ210" s="107"/>
      <c r="AK210" s="107"/>
      <c r="AL210" s="107"/>
      <c r="AM210" s="107"/>
    </row>
    <row r="211" spans="1:39" ht="25" customHeight="1" x14ac:dyDescent="0.35">
      <c r="B211" s="96"/>
      <c r="C211" s="96"/>
      <c r="D211" s="96"/>
      <c r="E211" s="96"/>
      <c r="F211" s="96"/>
      <c r="G211" s="96"/>
      <c r="H211" s="96"/>
      <c r="I211" s="96"/>
      <c r="J211" s="96"/>
      <c r="K211" s="96"/>
      <c r="N211" s="107"/>
      <c r="O211" s="107"/>
      <c r="P211" s="107"/>
      <c r="Q211" s="107"/>
      <c r="R211" s="107"/>
      <c r="S211" s="107"/>
      <c r="T211" s="107"/>
      <c r="U211" s="107"/>
      <c r="V211" s="107"/>
      <c r="W211" s="107"/>
      <c r="X211" s="107"/>
      <c r="Y211" s="107"/>
      <c r="Z211" s="107"/>
      <c r="AA211" s="107"/>
      <c r="AB211" s="107"/>
      <c r="AC211" s="107"/>
      <c r="AD211" s="107"/>
      <c r="AE211" s="107"/>
      <c r="AF211" s="107"/>
      <c r="AG211" s="107"/>
      <c r="AH211" s="107"/>
      <c r="AI211" s="107"/>
      <c r="AJ211" s="107"/>
      <c r="AK211" s="107"/>
      <c r="AL211" s="107"/>
      <c r="AM211" s="107"/>
    </row>
    <row r="212" spans="1:39" ht="25" customHeight="1" x14ac:dyDescent="0.35">
      <c r="B212" s="96"/>
      <c r="C212" s="96"/>
      <c r="D212" s="96"/>
      <c r="E212" s="96"/>
      <c r="F212" s="96"/>
      <c r="G212" s="96"/>
      <c r="H212" s="96"/>
      <c r="I212" s="96"/>
      <c r="J212" s="96"/>
      <c r="K212" s="96"/>
      <c r="N212" s="107"/>
      <c r="O212" s="107"/>
      <c r="P212" s="107"/>
      <c r="Q212" s="107"/>
      <c r="R212" s="107"/>
      <c r="S212" s="107"/>
      <c r="T212" s="107"/>
      <c r="U212" s="107"/>
      <c r="V212" s="107"/>
      <c r="W212" s="107"/>
      <c r="X212" s="107"/>
      <c r="Y212" s="107"/>
      <c r="Z212" s="107"/>
      <c r="AA212" s="107"/>
      <c r="AB212" s="107"/>
      <c r="AC212" s="107"/>
      <c r="AD212" s="107"/>
      <c r="AE212" s="107"/>
      <c r="AF212" s="107"/>
      <c r="AG212" s="107"/>
      <c r="AH212" s="107"/>
      <c r="AI212" s="107"/>
      <c r="AJ212" s="107"/>
      <c r="AK212" s="107"/>
      <c r="AL212" s="107"/>
      <c r="AM212" s="107"/>
    </row>
    <row r="213" spans="1:39" ht="25" customHeight="1" x14ac:dyDescent="0.35">
      <c r="B213" s="96"/>
      <c r="C213" s="96"/>
      <c r="D213" s="96"/>
      <c r="E213" s="96"/>
      <c r="F213" s="96"/>
      <c r="G213" s="96"/>
      <c r="H213" s="96"/>
      <c r="I213" s="96"/>
      <c r="J213" s="96"/>
      <c r="K213" s="226"/>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7"/>
      <c r="AI213" s="107"/>
      <c r="AJ213" s="107"/>
      <c r="AK213" s="107"/>
      <c r="AL213" s="107"/>
      <c r="AM213" s="107"/>
    </row>
    <row r="214" spans="1:39" ht="25" customHeight="1" x14ac:dyDescent="0.35">
      <c r="B214" s="96"/>
      <c r="C214" s="96"/>
      <c r="D214" s="96"/>
      <c r="E214" s="96"/>
      <c r="F214" s="96"/>
      <c r="G214" s="96"/>
      <c r="H214" s="96"/>
      <c r="I214" s="96"/>
      <c r="J214" s="96"/>
      <c r="K214" s="226"/>
      <c r="N214" s="107"/>
      <c r="O214" s="107"/>
      <c r="P214" s="107"/>
      <c r="Q214" s="107"/>
      <c r="R214" s="107"/>
      <c r="S214" s="107"/>
      <c r="T214" s="107"/>
      <c r="U214" s="107"/>
      <c r="V214" s="107"/>
      <c r="W214" s="107"/>
      <c r="X214" s="107"/>
      <c r="Y214" s="107"/>
      <c r="Z214" s="107"/>
      <c r="AA214" s="107"/>
      <c r="AB214" s="107"/>
      <c r="AC214" s="107"/>
      <c r="AD214" s="107"/>
      <c r="AE214" s="107"/>
      <c r="AF214" s="107"/>
      <c r="AG214" s="107"/>
      <c r="AH214" s="107"/>
      <c r="AI214" s="107"/>
      <c r="AJ214" s="107"/>
      <c r="AK214" s="107"/>
      <c r="AL214" s="107"/>
      <c r="AM214" s="107"/>
    </row>
    <row r="215" spans="1:39" ht="25" customHeight="1" x14ac:dyDescent="0.35">
      <c r="B215" s="96"/>
      <c r="C215" s="96"/>
      <c r="D215" s="96"/>
      <c r="E215" s="96"/>
      <c r="F215" s="96"/>
      <c r="G215" s="96"/>
      <c r="H215" s="96"/>
      <c r="I215" s="96"/>
      <c r="J215" s="96"/>
      <c r="K215" s="226"/>
      <c r="N215" s="107"/>
      <c r="O215" s="107"/>
      <c r="P215" s="107"/>
      <c r="Q215" s="107"/>
      <c r="R215" s="107"/>
      <c r="S215" s="107"/>
      <c r="T215" s="107"/>
      <c r="U215" s="107"/>
      <c r="V215" s="107"/>
      <c r="W215" s="107"/>
      <c r="X215" s="107"/>
      <c r="Y215" s="107"/>
      <c r="Z215" s="107"/>
      <c r="AA215" s="107"/>
      <c r="AB215" s="107"/>
      <c r="AC215" s="107"/>
      <c r="AD215" s="107"/>
      <c r="AE215" s="107"/>
      <c r="AF215" s="107"/>
      <c r="AG215" s="107"/>
      <c r="AH215" s="107"/>
      <c r="AI215" s="107"/>
      <c r="AJ215" s="107"/>
      <c r="AK215" s="107"/>
      <c r="AL215" s="107"/>
      <c r="AM215" s="107"/>
    </row>
    <row r="216" spans="1:39" ht="25" customHeight="1" x14ac:dyDescent="0.35">
      <c r="B216" s="96"/>
      <c r="C216" s="96"/>
      <c r="D216" s="96"/>
      <c r="E216" s="96"/>
      <c r="F216" s="96"/>
      <c r="G216" s="96"/>
      <c r="H216" s="96"/>
      <c r="I216" s="96"/>
      <c r="J216" s="96"/>
      <c r="K216" s="226"/>
      <c r="N216" s="107"/>
      <c r="O216" s="107"/>
      <c r="P216" s="107"/>
      <c r="Q216" s="107"/>
      <c r="R216" s="107"/>
      <c r="S216" s="107"/>
      <c r="T216" s="107"/>
      <c r="U216" s="107"/>
      <c r="V216" s="107"/>
      <c r="W216" s="107"/>
      <c r="X216" s="107"/>
      <c r="Y216" s="107"/>
      <c r="Z216" s="107"/>
      <c r="AA216" s="107"/>
      <c r="AB216" s="107"/>
      <c r="AC216" s="107"/>
      <c r="AD216" s="107"/>
      <c r="AE216" s="107"/>
      <c r="AF216" s="107"/>
      <c r="AG216" s="107"/>
      <c r="AH216" s="107"/>
      <c r="AI216" s="107"/>
      <c r="AJ216" s="107"/>
      <c r="AK216" s="107"/>
      <c r="AL216" s="107"/>
      <c r="AM216" s="107"/>
    </row>
    <row r="217" spans="1:39" ht="25" customHeight="1" x14ac:dyDescent="0.35">
      <c r="A217" s="96" t="s">
        <v>193</v>
      </c>
      <c r="B217" s="96"/>
      <c r="C217" s="96"/>
      <c r="D217" s="96"/>
      <c r="E217" s="96"/>
      <c r="F217" s="96"/>
      <c r="G217" s="96"/>
      <c r="H217" s="96"/>
      <c r="I217" s="96"/>
      <c r="J217" s="96"/>
      <c r="K217" s="226"/>
      <c r="N217" s="107"/>
      <c r="O217" s="107"/>
      <c r="P217" s="107"/>
      <c r="Q217" s="107"/>
      <c r="R217" s="107"/>
      <c r="S217" s="107"/>
      <c r="T217" s="107"/>
      <c r="U217" s="107"/>
      <c r="V217" s="107"/>
      <c r="W217" s="107"/>
      <c r="X217" s="107"/>
      <c r="Y217" s="107"/>
      <c r="Z217" s="107"/>
      <c r="AA217" s="107"/>
      <c r="AB217" s="107"/>
      <c r="AC217" s="107"/>
      <c r="AD217" s="107"/>
      <c r="AE217" s="107"/>
      <c r="AF217" s="107"/>
      <c r="AG217" s="107"/>
      <c r="AH217" s="107"/>
      <c r="AI217" s="107"/>
      <c r="AJ217" s="107"/>
      <c r="AK217" s="107"/>
      <c r="AL217" s="107"/>
      <c r="AM217" s="107"/>
    </row>
    <row r="218" spans="1:39" ht="25" customHeight="1" x14ac:dyDescent="0.35">
      <c r="A218" s="96" t="s">
        <v>194</v>
      </c>
      <c r="B218" s="96"/>
      <c r="C218" s="96"/>
      <c r="D218" s="96"/>
      <c r="E218" s="96"/>
      <c r="F218" s="96"/>
      <c r="G218" s="96"/>
      <c r="H218" s="96"/>
      <c r="I218" s="96"/>
      <c r="J218" s="96"/>
      <c r="K218" s="226"/>
      <c r="N218" s="107"/>
      <c r="O218" s="107"/>
      <c r="P218" s="107"/>
      <c r="Q218" s="107"/>
      <c r="R218" s="107"/>
      <c r="S218" s="107"/>
      <c r="T218" s="107"/>
      <c r="U218" s="107"/>
      <c r="V218" s="107"/>
      <c r="W218" s="107"/>
      <c r="X218" s="107"/>
      <c r="Y218" s="107"/>
      <c r="Z218" s="107"/>
      <c r="AA218" s="107"/>
      <c r="AB218" s="107"/>
      <c r="AC218" s="107"/>
      <c r="AD218" s="107"/>
      <c r="AE218" s="107"/>
      <c r="AF218" s="107"/>
      <c r="AG218" s="107"/>
      <c r="AH218" s="107"/>
      <c r="AI218" s="107"/>
      <c r="AJ218" s="107"/>
      <c r="AK218" s="107"/>
      <c r="AL218" s="107"/>
      <c r="AM218" s="107"/>
    </row>
    <row r="219" spans="1:39" ht="25" customHeight="1" x14ac:dyDescent="0.35">
      <c r="A219" s="96" t="s">
        <v>195</v>
      </c>
      <c r="B219" s="96"/>
      <c r="C219" s="96"/>
      <c r="D219" s="96"/>
      <c r="E219" s="96"/>
      <c r="F219" s="96"/>
      <c r="G219" s="96"/>
      <c r="H219" s="96"/>
      <c r="I219" s="96"/>
      <c r="J219" s="96"/>
      <c r="K219" s="226"/>
      <c r="N219" s="107"/>
      <c r="O219" s="107"/>
      <c r="P219" s="107"/>
      <c r="Q219" s="107"/>
      <c r="R219" s="107"/>
      <c r="S219" s="107"/>
      <c r="T219" s="107"/>
      <c r="U219" s="107"/>
      <c r="V219" s="107"/>
      <c r="W219" s="107"/>
      <c r="X219" s="107"/>
      <c r="Y219" s="107"/>
      <c r="Z219" s="107"/>
      <c r="AA219" s="107"/>
      <c r="AB219" s="107"/>
      <c r="AC219" s="107"/>
      <c r="AD219" s="107"/>
      <c r="AE219" s="107"/>
      <c r="AF219" s="107"/>
      <c r="AG219" s="107"/>
      <c r="AH219" s="107"/>
      <c r="AI219" s="107"/>
      <c r="AJ219" s="107"/>
      <c r="AK219" s="107"/>
      <c r="AL219" s="107"/>
      <c r="AM219" s="107"/>
    </row>
    <row r="220" spans="1:39" ht="25" customHeight="1" thickBot="1" x14ac:dyDescent="0.4">
      <c r="A220" s="96" t="s">
        <v>99</v>
      </c>
      <c r="B220" s="96"/>
      <c r="C220" s="96">
        <v>12763327.879000001</v>
      </c>
      <c r="D220" s="96">
        <v>17470110.029999997</v>
      </c>
      <c r="E220" s="96">
        <v>20404882.979000002</v>
      </c>
      <c r="F220" s="96"/>
      <c r="G220" s="96"/>
      <c r="H220" s="96"/>
      <c r="I220" s="96"/>
      <c r="J220" s="96"/>
      <c r="K220" s="226"/>
      <c r="N220" s="107"/>
      <c r="O220" s="107"/>
      <c r="P220" s="107"/>
      <c r="Q220" s="107"/>
      <c r="R220" s="107"/>
      <c r="S220" s="107"/>
      <c r="T220" s="107"/>
      <c r="U220" s="107"/>
      <c r="V220" s="107"/>
      <c r="W220" s="107"/>
      <c r="X220" s="107"/>
      <c r="Y220" s="107"/>
      <c r="Z220" s="107"/>
      <c r="AA220" s="107"/>
      <c r="AB220" s="107"/>
      <c r="AC220" s="107"/>
      <c r="AD220" s="107"/>
      <c r="AE220" s="107"/>
      <c r="AF220" s="107"/>
      <c r="AG220" s="107"/>
      <c r="AH220" s="107"/>
      <c r="AI220" s="107"/>
      <c r="AJ220" s="107"/>
      <c r="AK220" s="107"/>
      <c r="AL220" s="107"/>
      <c r="AM220" s="107"/>
    </row>
    <row r="221" spans="1:39" ht="25" customHeight="1" thickBot="1" x14ac:dyDescent="0.4">
      <c r="A221" s="227" t="s">
        <v>196</v>
      </c>
      <c r="B221" s="228">
        <v>27950544</v>
      </c>
      <c r="C221" s="228">
        <v>29745906</v>
      </c>
      <c r="D221" s="228">
        <v>31967663</v>
      </c>
      <c r="E221" s="228">
        <v>34640863</v>
      </c>
      <c r="F221" s="96"/>
      <c r="G221" s="96"/>
      <c r="H221" s="96"/>
      <c r="I221" s="96"/>
      <c r="J221" s="96"/>
      <c r="K221" s="226"/>
      <c r="N221" s="107"/>
      <c r="O221" s="107"/>
      <c r="P221" s="107"/>
      <c r="Q221" s="107"/>
      <c r="R221" s="107"/>
      <c r="S221" s="107"/>
      <c r="T221" s="107"/>
      <c r="U221" s="107"/>
      <c r="V221" s="107"/>
      <c r="W221" s="107"/>
      <c r="X221" s="107"/>
      <c r="Y221" s="107"/>
      <c r="Z221" s="107"/>
      <c r="AA221" s="107"/>
      <c r="AB221" s="107"/>
      <c r="AC221" s="107"/>
      <c r="AD221" s="107"/>
      <c r="AE221" s="107"/>
      <c r="AF221" s="107"/>
      <c r="AG221" s="107"/>
      <c r="AH221" s="107"/>
      <c r="AI221" s="107"/>
      <c r="AJ221" s="107"/>
      <c r="AK221" s="107"/>
      <c r="AL221" s="107"/>
      <c r="AM221" s="107"/>
    </row>
    <row r="222" spans="1:39" ht="25" customHeight="1" x14ac:dyDescent="0.35">
      <c r="A222" s="96" t="s">
        <v>197</v>
      </c>
      <c r="B222" s="96"/>
      <c r="C222" s="96"/>
      <c r="D222" s="96"/>
      <c r="E222" s="96"/>
      <c r="F222" s="96"/>
      <c r="G222" s="96"/>
      <c r="H222" s="96"/>
      <c r="I222" s="96"/>
      <c r="J222" s="96"/>
      <c r="K222" s="226"/>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07"/>
      <c r="AJ222" s="107"/>
      <c r="AK222" s="107"/>
      <c r="AL222" s="107"/>
      <c r="AM222" s="107"/>
    </row>
    <row r="223" spans="1:39" ht="25" customHeight="1" x14ac:dyDescent="0.35">
      <c r="A223" s="96" t="s">
        <v>198</v>
      </c>
      <c r="B223" s="96"/>
      <c r="C223" s="96"/>
      <c r="D223" s="96"/>
      <c r="E223" s="96"/>
      <c r="F223" s="96"/>
      <c r="G223" s="96"/>
      <c r="H223" s="96"/>
      <c r="I223" s="96"/>
      <c r="J223" s="96"/>
      <c r="K223" s="226"/>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07"/>
      <c r="AJ223" s="107"/>
      <c r="AK223" s="107"/>
      <c r="AL223" s="107"/>
      <c r="AM223" s="107"/>
    </row>
    <row r="224" spans="1:39" ht="25" customHeight="1" x14ac:dyDescent="0.35">
      <c r="A224" s="96" t="s">
        <v>193</v>
      </c>
      <c r="B224" s="96"/>
      <c r="C224" s="96"/>
      <c r="D224" s="96"/>
      <c r="E224" s="96"/>
      <c r="F224" s="96"/>
      <c r="G224" s="96"/>
      <c r="H224" s="96"/>
      <c r="I224" s="96"/>
      <c r="J224" s="96"/>
      <c r="K224" s="226"/>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c r="AL224" s="107"/>
      <c r="AM224" s="107"/>
    </row>
    <row r="225" spans="1:39" ht="25" customHeight="1" x14ac:dyDescent="0.35">
      <c r="A225" s="96" t="s">
        <v>194</v>
      </c>
      <c r="B225" s="96"/>
      <c r="C225" s="96"/>
      <c r="D225" s="96"/>
      <c r="E225" s="96"/>
      <c r="F225" s="96"/>
      <c r="G225" s="96"/>
      <c r="H225" s="96"/>
      <c r="I225" s="96"/>
      <c r="J225" s="96"/>
      <c r="K225" s="226"/>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c r="AL225" s="107"/>
      <c r="AM225" s="107"/>
    </row>
    <row r="226" spans="1:39" ht="25" customHeight="1" x14ac:dyDescent="0.35">
      <c r="A226" s="96" t="s">
        <v>195</v>
      </c>
      <c r="B226" s="96"/>
      <c r="C226" s="96"/>
      <c r="D226" s="96"/>
      <c r="E226" s="96"/>
      <c r="F226" s="96"/>
      <c r="G226" s="96"/>
      <c r="H226" s="96"/>
      <c r="I226" s="96"/>
      <c r="J226" s="96"/>
      <c r="K226" s="226"/>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7"/>
      <c r="AI226" s="107"/>
      <c r="AJ226" s="107"/>
      <c r="AK226" s="107"/>
      <c r="AL226" s="107"/>
      <c r="AM226" s="107"/>
    </row>
    <row r="227" spans="1:39" ht="25" customHeight="1" x14ac:dyDescent="0.35">
      <c r="A227" s="96"/>
      <c r="B227" s="96"/>
      <c r="C227" s="96"/>
      <c r="D227" s="96"/>
      <c r="E227" s="96"/>
      <c r="F227" s="96"/>
      <c r="G227" s="96"/>
      <c r="H227" s="96"/>
      <c r="I227" s="96"/>
      <c r="J227" s="96"/>
      <c r="K227" s="226"/>
      <c r="N227" s="107"/>
      <c r="O227" s="107"/>
      <c r="P227" s="107"/>
      <c r="Q227" s="107"/>
      <c r="R227" s="107"/>
      <c r="S227" s="107"/>
      <c r="T227" s="107"/>
      <c r="U227" s="107"/>
      <c r="V227" s="107"/>
      <c r="W227" s="107"/>
      <c r="X227" s="107"/>
      <c r="Y227" s="107"/>
      <c r="Z227" s="107"/>
      <c r="AA227" s="107"/>
      <c r="AB227" s="107"/>
      <c r="AC227" s="107"/>
      <c r="AD227" s="107"/>
      <c r="AE227" s="107"/>
      <c r="AF227" s="107"/>
      <c r="AG227" s="107"/>
      <c r="AH227" s="107"/>
      <c r="AI227" s="107"/>
      <c r="AJ227" s="107"/>
      <c r="AK227" s="107"/>
      <c r="AL227" s="107"/>
      <c r="AM227" s="107"/>
    </row>
    <row r="228" spans="1:39" ht="25" customHeight="1" x14ac:dyDescent="0.35">
      <c r="A228" s="96"/>
      <c r="B228" s="96"/>
      <c r="C228" s="96"/>
      <c r="D228" s="96"/>
      <c r="E228" s="96"/>
      <c r="F228" s="96"/>
      <c r="G228" s="96"/>
      <c r="H228" s="96"/>
      <c r="I228" s="96"/>
      <c r="J228" s="96"/>
      <c r="K228" s="226"/>
      <c r="N228" s="107"/>
      <c r="O228" s="107"/>
      <c r="P228" s="107"/>
      <c r="Q228" s="107"/>
      <c r="R228" s="107"/>
      <c r="S228" s="107"/>
      <c r="T228" s="107"/>
      <c r="U228" s="107"/>
      <c r="V228" s="107"/>
      <c r="W228" s="107"/>
      <c r="X228" s="107"/>
      <c r="Y228" s="107"/>
      <c r="Z228" s="107"/>
      <c r="AA228" s="107"/>
      <c r="AB228" s="107"/>
      <c r="AC228" s="107"/>
      <c r="AD228" s="107"/>
      <c r="AE228" s="107"/>
      <c r="AF228" s="107"/>
      <c r="AG228" s="107"/>
      <c r="AH228" s="107"/>
      <c r="AI228" s="107"/>
      <c r="AJ228" s="107"/>
      <c r="AK228" s="107"/>
      <c r="AL228" s="107"/>
      <c r="AM228" s="107"/>
    </row>
    <row r="229" spans="1:39" ht="25" customHeight="1" thickBot="1" x14ac:dyDescent="0.4">
      <c r="A229" s="96"/>
      <c r="B229" s="96"/>
      <c r="C229" s="96"/>
      <c r="D229" s="96"/>
      <c r="E229" s="96"/>
      <c r="F229" s="96">
        <v>23994511.971000001</v>
      </c>
      <c r="G229" s="96"/>
      <c r="H229" s="96"/>
      <c r="I229" s="96"/>
      <c r="J229" s="96"/>
      <c r="K229" s="226"/>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7"/>
      <c r="AI229" s="107"/>
      <c r="AJ229" s="107"/>
      <c r="AK229" s="107"/>
      <c r="AL229" s="107"/>
      <c r="AM229" s="107"/>
    </row>
    <row r="230" spans="1:39" ht="25" customHeight="1" x14ac:dyDescent="0.35">
      <c r="A230" s="96" t="s">
        <v>13</v>
      </c>
      <c r="B230" s="96"/>
      <c r="C230" s="96"/>
      <c r="D230" s="96"/>
      <c r="E230" s="96"/>
      <c r="F230" s="228">
        <v>36059016</v>
      </c>
      <c r="G230" s="96"/>
      <c r="H230" s="96"/>
      <c r="I230" s="96"/>
      <c r="J230" s="96"/>
      <c r="K230" s="226"/>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7"/>
      <c r="AI230" s="107"/>
      <c r="AJ230" s="107"/>
      <c r="AK230" s="107"/>
      <c r="AL230" s="107"/>
      <c r="AM230" s="107"/>
    </row>
    <row r="231" spans="1:39" ht="25" customHeight="1" x14ac:dyDescent="0.35">
      <c r="A231" s="96" t="s">
        <v>199</v>
      </c>
      <c r="B231" s="96"/>
      <c r="C231" s="96"/>
      <c r="D231" s="96"/>
      <c r="E231" s="96"/>
      <c r="F231" s="96"/>
      <c r="G231" s="96"/>
      <c r="H231" s="96"/>
      <c r="I231" s="96"/>
      <c r="J231" s="96"/>
      <c r="K231" s="226"/>
      <c r="N231" s="107"/>
      <c r="O231" s="107"/>
      <c r="P231" s="107"/>
      <c r="Q231" s="107"/>
      <c r="R231" s="107"/>
      <c r="S231" s="107"/>
      <c r="T231" s="107"/>
      <c r="U231" s="107"/>
      <c r="V231" s="107"/>
      <c r="W231" s="107"/>
      <c r="X231" s="107"/>
      <c r="Y231" s="107"/>
      <c r="Z231" s="107"/>
      <c r="AA231" s="107"/>
      <c r="AB231" s="107"/>
      <c r="AC231" s="107"/>
      <c r="AD231" s="107"/>
      <c r="AE231" s="107"/>
      <c r="AF231" s="107"/>
      <c r="AG231" s="107"/>
      <c r="AH231" s="107"/>
      <c r="AI231" s="107"/>
      <c r="AJ231" s="107"/>
      <c r="AK231" s="107"/>
      <c r="AL231" s="107"/>
      <c r="AM231" s="107"/>
    </row>
    <row r="232" spans="1:39" ht="25" customHeight="1" x14ac:dyDescent="0.35">
      <c r="A232" s="96" t="s">
        <v>200</v>
      </c>
      <c r="B232" s="96"/>
      <c r="C232" s="96"/>
      <c r="D232" s="96"/>
      <c r="E232" s="96"/>
      <c r="F232" s="96"/>
      <c r="G232" s="96"/>
      <c r="H232" s="96"/>
      <c r="I232" s="96"/>
      <c r="J232" s="96"/>
      <c r="K232" s="226"/>
      <c r="N232" s="107"/>
      <c r="O232" s="107"/>
      <c r="P232" s="107"/>
      <c r="Q232" s="107"/>
      <c r="R232" s="107"/>
      <c r="S232" s="107"/>
      <c r="T232" s="107"/>
      <c r="U232" s="107"/>
      <c r="V232" s="107"/>
      <c r="W232" s="107"/>
      <c r="X232" s="107"/>
      <c r="Y232" s="107"/>
      <c r="Z232" s="107"/>
      <c r="AA232" s="107"/>
      <c r="AB232" s="107"/>
      <c r="AC232" s="107"/>
      <c r="AD232" s="107"/>
      <c r="AE232" s="107"/>
      <c r="AF232" s="107"/>
      <c r="AG232" s="107"/>
      <c r="AH232" s="107"/>
      <c r="AI232" s="107"/>
      <c r="AJ232" s="107"/>
      <c r="AK232" s="107"/>
      <c r="AL232" s="107"/>
      <c r="AM232" s="107"/>
    </row>
    <row r="233" spans="1:39" ht="25" customHeight="1" x14ac:dyDescent="0.35">
      <c r="A233" s="96" t="s">
        <v>201</v>
      </c>
      <c r="B233" s="96"/>
      <c r="C233" s="96"/>
      <c r="D233" s="96"/>
      <c r="E233" s="96"/>
      <c r="F233" s="96"/>
      <c r="G233" s="96"/>
      <c r="H233" s="96"/>
      <c r="I233" s="96"/>
      <c r="J233" s="96"/>
      <c r="K233" s="226"/>
      <c r="N233" s="107"/>
      <c r="O233" s="107"/>
      <c r="P233" s="107"/>
      <c r="Q233" s="107"/>
      <c r="R233" s="107"/>
      <c r="S233" s="107"/>
      <c r="T233" s="107"/>
      <c r="U233" s="107"/>
      <c r="V233" s="107"/>
      <c r="W233" s="107"/>
      <c r="X233" s="107"/>
      <c r="Y233" s="107"/>
      <c r="Z233" s="107"/>
      <c r="AA233" s="107"/>
      <c r="AB233" s="107"/>
      <c r="AC233" s="107"/>
      <c r="AD233" s="107"/>
      <c r="AE233" s="107"/>
      <c r="AF233" s="107"/>
      <c r="AG233" s="107"/>
      <c r="AH233" s="107"/>
      <c r="AI233" s="107"/>
      <c r="AJ233" s="107"/>
      <c r="AK233" s="107"/>
      <c r="AL233" s="107"/>
      <c r="AM233" s="107"/>
    </row>
    <row r="234" spans="1:39" ht="25" customHeight="1" x14ac:dyDescent="0.35">
      <c r="A234" s="96" t="s">
        <v>202</v>
      </c>
      <c r="B234" s="96"/>
      <c r="C234" s="96"/>
      <c r="D234" s="96"/>
      <c r="E234" s="96"/>
      <c r="F234" s="96"/>
      <c r="G234" s="96"/>
      <c r="H234" s="96"/>
      <c r="I234" s="96"/>
      <c r="J234" s="96"/>
      <c r="K234" s="226"/>
      <c r="N234" s="107"/>
      <c r="O234" s="107"/>
      <c r="P234" s="107"/>
      <c r="Q234" s="107"/>
      <c r="R234" s="107"/>
      <c r="S234" s="107"/>
      <c r="T234" s="107"/>
      <c r="U234" s="107"/>
      <c r="V234" s="107"/>
      <c r="W234" s="107"/>
      <c r="X234" s="107"/>
      <c r="Y234" s="107"/>
      <c r="Z234" s="107"/>
      <c r="AA234" s="107"/>
      <c r="AB234" s="107"/>
      <c r="AC234" s="107"/>
      <c r="AD234" s="107"/>
      <c r="AE234" s="107"/>
      <c r="AF234" s="107"/>
      <c r="AG234" s="107"/>
      <c r="AH234" s="107"/>
      <c r="AI234" s="107"/>
      <c r="AJ234" s="107"/>
      <c r="AK234" s="107"/>
      <c r="AL234" s="107"/>
      <c r="AM234" s="107"/>
    </row>
    <row r="235" spans="1:39" ht="25" customHeight="1" x14ac:dyDescent="0.35">
      <c r="A235" s="96" t="s">
        <v>203</v>
      </c>
      <c r="B235" s="96"/>
      <c r="C235" s="96"/>
      <c r="D235" s="96"/>
      <c r="E235" s="96"/>
      <c r="F235" s="96"/>
      <c r="G235" s="96"/>
      <c r="H235" s="96"/>
      <c r="I235" s="96"/>
      <c r="J235" s="96"/>
      <c r="K235" s="226"/>
      <c r="N235" s="107"/>
      <c r="O235" s="107"/>
      <c r="P235" s="107"/>
      <c r="Q235" s="107"/>
      <c r="R235" s="107"/>
      <c r="S235" s="107"/>
      <c r="T235" s="107"/>
      <c r="U235" s="107"/>
      <c r="V235" s="107"/>
      <c r="W235" s="107"/>
      <c r="X235" s="107"/>
      <c r="Y235" s="107"/>
      <c r="Z235" s="107"/>
      <c r="AA235" s="107"/>
      <c r="AB235" s="107"/>
      <c r="AC235" s="107"/>
      <c r="AD235" s="107"/>
      <c r="AE235" s="107"/>
      <c r="AF235" s="107"/>
      <c r="AG235" s="107"/>
      <c r="AH235" s="107"/>
      <c r="AI235" s="107"/>
      <c r="AJ235" s="107"/>
      <c r="AK235" s="107"/>
      <c r="AL235" s="107"/>
      <c r="AM235" s="107"/>
    </row>
    <row r="236" spans="1:39" ht="25" customHeight="1" x14ac:dyDescent="0.35">
      <c r="A236" s="96" t="s">
        <v>204</v>
      </c>
      <c r="B236" s="96"/>
      <c r="C236" s="96"/>
      <c r="D236" s="96"/>
      <c r="E236" s="96"/>
      <c r="F236" s="96"/>
      <c r="G236" s="96"/>
      <c r="H236" s="96"/>
      <c r="I236" s="96"/>
      <c r="J236" s="96"/>
      <c r="K236" s="226"/>
      <c r="N236" s="107"/>
      <c r="O236" s="107"/>
      <c r="P236" s="107"/>
      <c r="Q236" s="107"/>
      <c r="R236" s="107"/>
      <c r="S236" s="107"/>
      <c r="T236" s="107"/>
      <c r="U236" s="107"/>
      <c r="V236" s="107"/>
      <c r="W236" s="107"/>
      <c r="X236" s="107"/>
      <c r="Y236" s="107"/>
      <c r="Z236" s="107"/>
      <c r="AA236" s="107"/>
      <c r="AB236" s="107"/>
      <c r="AC236" s="107"/>
      <c r="AD236" s="107"/>
      <c r="AE236" s="107"/>
      <c r="AF236" s="107"/>
      <c r="AG236" s="107"/>
      <c r="AH236" s="107"/>
      <c r="AI236" s="107"/>
      <c r="AJ236" s="107"/>
      <c r="AK236" s="107"/>
      <c r="AL236" s="107"/>
      <c r="AM236" s="107"/>
    </row>
    <row r="237" spans="1:39" ht="25" customHeight="1" x14ac:dyDescent="0.35">
      <c r="A237" s="96"/>
      <c r="B237" s="96"/>
      <c r="C237" s="96"/>
      <c r="D237" s="96"/>
      <c r="E237" s="96"/>
      <c r="F237" s="96"/>
      <c r="G237" s="96"/>
      <c r="H237" s="96"/>
      <c r="I237" s="96"/>
      <c r="J237" s="96"/>
      <c r="K237" s="226"/>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c r="AL237" s="107"/>
      <c r="AM237" s="107"/>
    </row>
    <row r="238" spans="1:39" ht="25" customHeight="1" x14ac:dyDescent="0.35">
      <c r="A238" s="96"/>
      <c r="B238" s="96"/>
      <c r="C238" s="96"/>
      <c r="D238" s="96"/>
      <c r="E238" s="96"/>
      <c r="F238" s="96"/>
      <c r="G238" s="96"/>
      <c r="H238" s="96"/>
      <c r="I238" s="96"/>
      <c r="J238" s="96"/>
      <c r="K238" s="226"/>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c r="AL238" s="107"/>
      <c r="AM238" s="107"/>
    </row>
    <row r="239" spans="1:39" ht="25" customHeight="1" x14ac:dyDescent="0.35">
      <c r="A239" s="96" t="s">
        <v>205</v>
      </c>
      <c r="B239" s="96"/>
      <c r="C239" s="96"/>
      <c r="D239" s="96"/>
      <c r="E239" s="96"/>
      <c r="F239" s="96"/>
      <c r="G239" s="96"/>
      <c r="H239" s="96"/>
      <c r="I239" s="96"/>
      <c r="J239" s="96"/>
      <c r="K239" s="226"/>
      <c r="N239" s="107"/>
      <c r="O239" s="107"/>
      <c r="P239" s="107"/>
      <c r="Q239" s="107"/>
      <c r="R239" s="107"/>
      <c r="S239" s="107"/>
      <c r="T239" s="107"/>
      <c r="U239" s="107"/>
      <c r="V239" s="107"/>
      <c r="W239" s="107"/>
      <c r="X239" s="107"/>
      <c r="Y239" s="107"/>
      <c r="Z239" s="107"/>
      <c r="AA239" s="107"/>
      <c r="AB239" s="107"/>
      <c r="AC239" s="107"/>
      <c r="AD239" s="107"/>
      <c r="AE239" s="107"/>
      <c r="AF239" s="107"/>
      <c r="AG239" s="107"/>
      <c r="AH239" s="107"/>
      <c r="AI239" s="107"/>
      <c r="AJ239" s="107"/>
      <c r="AK239" s="107"/>
      <c r="AL239" s="107"/>
      <c r="AM239" s="107"/>
    </row>
    <row r="240" spans="1:39" ht="25" customHeight="1" x14ac:dyDescent="0.35">
      <c r="A240" s="96" t="s">
        <v>206</v>
      </c>
      <c r="B240" s="96"/>
      <c r="C240" s="96"/>
      <c r="D240" s="96"/>
      <c r="E240" s="96"/>
      <c r="F240" s="96"/>
      <c r="G240" s="96"/>
      <c r="H240" s="96"/>
      <c r="I240" s="96"/>
      <c r="J240" s="96"/>
      <c r="K240" s="226"/>
      <c r="N240" s="107"/>
      <c r="O240" s="107"/>
      <c r="P240" s="107"/>
      <c r="Q240" s="107"/>
      <c r="R240" s="107"/>
      <c r="S240" s="107"/>
      <c r="T240" s="107"/>
      <c r="U240" s="107"/>
      <c r="V240" s="107"/>
      <c r="W240" s="107"/>
      <c r="X240" s="107"/>
      <c r="Y240" s="107"/>
      <c r="Z240" s="107"/>
      <c r="AA240" s="107"/>
      <c r="AB240" s="107"/>
      <c r="AC240" s="107"/>
      <c r="AD240" s="107"/>
      <c r="AE240" s="107"/>
      <c r="AF240" s="107"/>
      <c r="AG240" s="107"/>
      <c r="AH240" s="107"/>
      <c r="AI240" s="107"/>
      <c r="AJ240" s="107"/>
      <c r="AK240" s="107"/>
      <c r="AL240" s="107"/>
      <c r="AM240" s="107"/>
    </row>
    <row r="241" spans="1:39" ht="25" customHeight="1" x14ac:dyDescent="0.35">
      <c r="A241" s="96" t="s">
        <v>207</v>
      </c>
      <c r="B241" s="96"/>
      <c r="C241" s="96"/>
      <c r="D241" s="96"/>
      <c r="E241" s="96"/>
      <c r="F241" s="96"/>
      <c r="G241" s="96"/>
      <c r="H241" s="96"/>
      <c r="I241" s="96"/>
      <c r="J241" s="96"/>
      <c r="K241" s="226"/>
      <c r="N241" s="107"/>
      <c r="O241" s="107"/>
      <c r="P241" s="107"/>
      <c r="Q241" s="107"/>
      <c r="R241" s="107"/>
      <c r="S241" s="107"/>
      <c r="T241" s="107"/>
      <c r="U241" s="107"/>
      <c r="V241" s="107"/>
      <c r="W241" s="107"/>
      <c r="X241" s="107"/>
      <c r="Y241" s="107"/>
      <c r="Z241" s="107"/>
      <c r="AA241" s="107"/>
      <c r="AB241" s="107"/>
      <c r="AC241" s="107"/>
      <c r="AD241" s="107"/>
      <c r="AE241" s="107"/>
      <c r="AF241" s="107"/>
      <c r="AG241" s="107"/>
      <c r="AH241" s="107"/>
      <c r="AI241" s="107"/>
      <c r="AJ241" s="107"/>
      <c r="AK241" s="107"/>
      <c r="AL241" s="107"/>
      <c r="AM241" s="107"/>
    </row>
    <row r="242" spans="1:39" ht="25" customHeight="1" x14ac:dyDescent="0.35">
      <c r="A242" s="96" t="s">
        <v>208</v>
      </c>
      <c r="B242" s="96"/>
      <c r="C242" s="96"/>
      <c r="D242" s="96"/>
      <c r="E242" s="96"/>
      <c r="F242" s="96"/>
      <c r="G242" s="96"/>
      <c r="H242" s="96"/>
      <c r="I242" s="96"/>
      <c r="J242" s="96"/>
      <c r="K242" s="226"/>
      <c r="N242" s="107"/>
      <c r="O242" s="107"/>
      <c r="P242" s="107"/>
      <c r="Q242" s="107"/>
      <c r="R242" s="107"/>
      <c r="S242" s="107"/>
      <c r="T242" s="107"/>
      <c r="U242" s="107"/>
      <c r="V242" s="107"/>
      <c r="W242" s="107"/>
      <c r="X242" s="107"/>
      <c r="Y242" s="107"/>
      <c r="Z242" s="107"/>
      <c r="AA242" s="107"/>
      <c r="AB242" s="107"/>
      <c r="AC242" s="107"/>
      <c r="AD242" s="107"/>
      <c r="AE242" s="107"/>
      <c r="AF242" s="107"/>
      <c r="AG242" s="107"/>
      <c r="AH242" s="107"/>
      <c r="AI242" s="107"/>
      <c r="AJ242" s="107"/>
      <c r="AK242" s="107"/>
      <c r="AL242" s="107"/>
      <c r="AM242" s="107"/>
    </row>
    <row r="243" spans="1:39" ht="25" customHeight="1" x14ac:dyDescent="0.35">
      <c r="A243" s="96"/>
      <c r="B243" s="96"/>
      <c r="C243" s="96"/>
      <c r="D243" s="96"/>
      <c r="E243" s="96"/>
      <c r="F243" s="96"/>
      <c r="G243" s="96"/>
      <c r="H243" s="96"/>
      <c r="I243" s="96"/>
      <c r="J243" s="96"/>
      <c r="K243" s="226"/>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c r="AL243" s="107"/>
      <c r="AM243" s="107"/>
    </row>
    <row r="244" spans="1:39" ht="25" customHeight="1" x14ac:dyDescent="0.35">
      <c r="A244" s="96" t="s">
        <v>209</v>
      </c>
      <c r="B244" s="96"/>
      <c r="C244" s="96"/>
      <c r="D244" s="96"/>
      <c r="E244" s="96"/>
      <c r="F244" s="96"/>
      <c r="G244" s="96"/>
      <c r="H244" s="96"/>
      <c r="I244" s="96"/>
      <c r="J244" s="96"/>
      <c r="K244" s="226"/>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7"/>
      <c r="AI244" s="107"/>
      <c r="AJ244" s="107"/>
      <c r="AK244" s="107"/>
      <c r="AL244" s="107"/>
      <c r="AM244" s="107"/>
    </row>
    <row r="245" spans="1:39" ht="25" customHeight="1" x14ac:dyDescent="0.35">
      <c r="A245" s="96" t="s">
        <v>210</v>
      </c>
      <c r="B245" s="96"/>
      <c r="C245" s="96"/>
      <c r="D245" s="96"/>
      <c r="E245" s="96"/>
      <c r="F245" s="96"/>
      <c r="G245" s="96"/>
      <c r="H245" s="96"/>
      <c r="I245" s="96"/>
      <c r="J245" s="96"/>
      <c r="K245" s="226"/>
      <c r="N245" s="107"/>
      <c r="O245" s="107"/>
      <c r="P245" s="107"/>
      <c r="Q245" s="107"/>
      <c r="R245" s="107"/>
      <c r="S245" s="107"/>
      <c r="T245" s="107"/>
      <c r="U245" s="107"/>
      <c r="V245" s="107"/>
      <c r="W245" s="107"/>
      <c r="X245" s="107"/>
      <c r="Y245" s="107"/>
      <c r="Z245" s="107"/>
      <c r="AA245" s="107"/>
      <c r="AB245" s="107"/>
      <c r="AC245" s="107"/>
      <c r="AD245" s="107"/>
      <c r="AE245" s="107"/>
      <c r="AF245" s="107"/>
      <c r="AG245" s="107"/>
      <c r="AH245" s="107"/>
      <c r="AI245" s="107"/>
      <c r="AJ245" s="107"/>
      <c r="AK245" s="107"/>
      <c r="AL245" s="107"/>
      <c r="AM245" s="107"/>
    </row>
    <row r="246" spans="1:39" ht="25" customHeight="1" x14ac:dyDescent="0.35">
      <c r="A246" s="96" t="s">
        <v>211</v>
      </c>
      <c r="B246" s="96"/>
      <c r="C246" s="96"/>
      <c r="D246" s="96"/>
      <c r="E246" s="96"/>
      <c r="F246" s="96"/>
      <c r="G246" s="96"/>
      <c r="H246" s="96"/>
      <c r="I246" s="96"/>
      <c r="J246" s="96"/>
      <c r="K246" s="226"/>
      <c r="N246" s="107"/>
      <c r="O246" s="107"/>
      <c r="P246" s="107"/>
      <c r="Q246" s="107"/>
      <c r="R246" s="107"/>
      <c r="S246" s="107"/>
      <c r="T246" s="107"/>
      <c r="U246" s="107"/>
      <c r="V246" s="107"/>
      <c r="W246" s="107"/>
      <c r="X246" s="107"/>
      <c r="Y246" s="107"/>
      <c r="Z246" s="107"/>
      <c r="AA246" s="107"/>
      <c r="AB246" s="107"/>
      <c r="AC246" s="107"/>
      <c r="AD246" s="107"/>
      <c r="AE246" s="107"/>
      <c r="AF246" s="107"/>
      <c r="AG246" s="107"/>
      <c r="AH246" s="107"/>
      <c r="AI246" s="107"/>
      <c r="AJ246" s="107"/>
      <c r="AK246" s="107"/>
      <c r="AL246" s="107"/>
      <c r="AM246" s="107"/>
    </row>
    <row r="247" spans="1:39" ht="25" customHeight="1" x14ac:dyDescent="0.35">
      <c r="A247" s="96" t="s">
        <v>212</v>
      </c>
      <c r="B247" s="96"/>
      <c r="C247" s="96"/>
      <c r="D247" s="96"/>
      <c r="E247" s="96"/>
      <c r="F247" s="96"/>
      <c r="G247" s="96"/>
      <c r="H247" s="96"/>
      <c r="I247" s="96"/>
      <c r="J247" s="96"/>
      <c r="K247" s="226"/>
      <c r="N247" s="107"/>
      <c r="O247" s="107"/>
      <c r="P247" s="107"/>
      <c r="Q247" s="107"/>
      <c r="R247" s="107"/>
      <c r="S247" s="107"/>
      <c r="T247" s="107"/>
      <c r="U247" s="107"/>
      <c r="V247" s="107"/>
      <c r="W247" s="107"/>
      <c r="X247" s="107"/>
      <c r="Y247" s="107"/>
      <c r="Z247" s="107"/>
      <c r="AA247" s="107"/>
      <c r="AB247" s="107"/>
      <c r="AC247" s="107"/>
      <c r="AD247" s="107"/>
      <c r="AE247" s="107"/>
      <c r="AF247" s="107"/>
      <c r="AG247" s="107"/>
      <c r="AH247" s="107"/>
      <c r="AI247" s="107"/>
      <c r="AJ247" s="107"/>
      <c r="AK247" s="107"/>
      <c r="AL247" s="107"/>
      <c r="AM247" s="107"/>
    </row>
    <row r="248" spans="1:39" ht="25" customHeight="1" x14ac:dyDescent="0.35">
      <c r="A248" s="96" t="s">
        <v>213</v>
      </c>
      <c r="B248" s="96"/>
      <c r="C248" s="96"/>
      <c r="D248" s="96"/>
      <c r="E248" s="96"/>
      <c r="F248" s="96"/>
      <c r="G248" s="96"/>
      <c r="H248" s="96"/>
      <c r="I248" s="96"/>
      <c r="J248" s="96"/>
      <c r="K248" s="226"/>
      <c r="N248" s="107"/>
      <c r="O248" s="107"/>
      <c r="P248" s="107"/>
      <c r="Q248" s="107"/>
      <c r="R248" s="107"/>
      <c r="S248" s="107"/>
      <c r="T248" s="107"/>
      <c r="U248" s="107"/>
      <c r="V248" s="107"/>
      <c r="W248" s="107"/>
      <c r="X248" s="107"/>
      <c r="Y248" s="107"/>
      <c r="Z248" s="107"/>
      <c r="AA248" s="107"/>
      <c r="AB248" s="107"/>
      <c r="AC248" s="107"/>
      <c r="AD248" s="107"/>
      <c r="AE248" s="107"/>
      <c r="AF248" s="107"/>
      <c r="AG248" s="107"/>
      <c r="AH248" s="107"/>
      <c r="AI248" s="107"/>
      <c r="AJ248" s="107"/>
      <c r="AK248" s="107"/>
      <c r="AL248" s="107"/>
      <c r="AM248" s="107"/>
    </row>
    <row r="249" spans="1:39" ht="25" customHeight="1" x14ac:dyDescent="0.35">
      <c r="A249" s="96" t="s">
        <v>214</v>
      </c>
      <c r="B249" s="96"/>
      <c r="C249" s="96"/>
      <c r="D249" s="96"/>
      <c r="E249" s="96"/>
      <c r="F249" s="96"/>
      <c r="G249" s="96"/>
      <c r="H249" s="96"/>
      <c r="I249" s="96"/>
      <c r="J249" s="96"/>
      <c r="K249" s="226"/>
      <c r="N249" s="107"/>
      <c r="O249" s="107"/>
      <c r="P249" s="107"/>
      <c r="Q249" s="107"/>
      <c r="R249" s="107"/>
      <c r="S249" s="107"/>
      <c r="T249" s="107"/>
      <c r="U249" s="107"/>
      <c r="V249" s="107"/>
      <c r="W249" s="107"/>
      <c r="X249" s="107"/>
      <c r="Y249" s="107"/>
      <c r="Z249" s="107"/>
      <c r="AA249" s="107"/>
      <c r="AB249" s="107"/>
      <c r="AC249" s="107"/>
      <c r="AD249" s="107"/>
      <c r="AE249" s="107"/>
      <c r="AF249" s="107"/>
      <c r="AG249" s="107"/>
      <c r="AH249" s="107"/>
      <c r="AI249" s="107"/>
      <c r="AJ249" s="107"/>
      <c r="AK249" s="107"/>
      <c r="AL249" s="107"/>
      <c r="AM249" s="107"/>
    </row>
    <row r="250" spans="1:39" ht="25" customHeight="1" x14ac:dyDescent="0.35">
      <c r="A250" s="96" t="s">
        <v>215</v>
      </c>
      <c r="B250" s="96"/>
      <c r="C250" s="96"/>
      <c r="D250" s="96"/>
      <c r="E250" s="96"/>
      <c r="F250" s="96"/>
      <c r="G250" s="96"/>
      <c r="H250" s="96"/>
      <c r="I250" s="96"/>
      <c r="J250" s="96"/>
      <c r="K250" s="226"/>
      <c r="N250" s="107"/>
      <c r="O250" s="107"/>
      <c r="P250" s="107"/>
      <c r="Q250" s="107"/>
      <c r="R250" s="107"/>
      <c r="S250" s="107"/>
      <c r="T250" s="107"/>
      <c r="U250" s="107"/>
      <c r="V250" s="107"/>
      <c r="W250" s="107"/>
      <c r="X250" s="107"/>
      <c r="Y250" s="107"/>
      <c r="Z250" s="107"/>
      <c r="AA250" s="107"/>
      <c r="AB250" s="107"/>
      <c r="AC250" s="107"/>
      <c r="AD250" s="107"/>
      <c r="AE250" s="107"/>
      <c r="AF250" s="107"/>
      <c r="AG250" s="107"/>
      <c r="AH250" s="107"/>
      <c r="AI250" s="107"/>
      <c r="AJ250" s="107"/>
      <c r="AK250" s="107"/>
      <c r="AL250" s="107"/>
      <c r="AM250" s="107"/>
    </row>
    <row r="251" spans="1:39" ht="25" customHeight="1" x14ac:dyDescent="0.35">
      <c r="A251" s="96" t="s">
        <v>216</v>
      </c>
      <c r="B251" s="96"/>
      <c r="C251" s="96"/>
      <c r="D251" s="96"/>
      <c r="E251" s="96"/>
      <c r="F251" s="96"/>
      <c r="G251" s="96"/>
      <c r="H251" s="96"/>
      <c r="I251" s="96"/>
      <c r="J251" s="96"/>
      <c r="K251" s="226"/>
      <c r="N251" s="107"/>
      <c r="O251" s="107"/>
      <c r="P251" s="107"/>
      <c r="Q251" s="107"/>
      <c r="R251" s="107"/>
      <c r="S251" s="107"/>
      <c r="T251" s="107"/>
      <c r="U251" s="107"/>
      <c r="V251" s="107"/>
      <c r="W251" s="107"/>
      <c r="X251" s="107"/>
      <c r="Y251" s="107"/>
      <c r="Z251" s="107"/>
      <c r="AA251" s="107"/>
      <c r="AB251" s="107"/>
      <c r="AC251" s="107"/>
      <c r="AD251" s="107"/>
      <c r="AE251" s="107"/>
      <c r="AF251" s="107"/>
      <c r="AG251" s="107"/>
      <c r="AH251" s="107"/>
      <c r="AI251" s="107"/>
      <c r="AJ251" s="107"/>
      <c r="AK251" s="107"/>
      <c r="AL251" s="107"/>
      <c r="AM251" s="107"/>
    </row>
    <row r="252" spans="1:39" ht="25" customHeight="1" x14ac:dyDescent="0.35">
      <c r="A252" s="96" t="s">
        <v>217</v>
      </c>
      <c r="B252" s="96"/>
      <c r="C252" s="96"/>
      <c r="D252" s="96"/>
      <c r="E252" s="96"/>
      <c r="F252" s="96"/>
      <c r="G252" s="96"/>
      <c r="H252" s="96"/>
      <c r="I252" s="96"/>
      <c r="J252" s="96"/>
      <c r="K252" s="226"/>
      <c r="N252" s="107"/>
      <c r="O252" s="107"/>
      <c r="P252" s="107"/>
      <c r="Q252" s="107"/>
      <c r="R252" s="107"/>
      <c r="S252" s="107"/>
      <c r="T252" s="107"/>
      <c r="U252" s="107"/>
      <c r="V252" s="107"/>
      <c r="W252" s="107"/>
      <c r="X252" s="107"/>
      <c r="Y252" s="107"/>
      <c r="Z252" s="107"/>
      <c r="AA252" s="107"/>
      <c r="AB252" s="107"/>
      <c r="AC252" s="107"/>
      <c r="AD252" s="107"/>
      <c r="AE252" s="107"/>
      <c r="AF252" s="107"/>
      <c r="AG252" s="107"/>
      <c r="AH252" s="107"/>
      <c r="AI252" s="107"/>
      <c r="AJ252" s="107"/>
      <c r="AK252" s="107"/>
      <c r="AL252" s="107"/>
      <c r="AM252" s="107"/>
    </row>
    <row r="253" spans="1:39" ht="25" customHeight="1" x14ac:dyDescent="0.35">
      <c r="A253" s="96" t="s">
        <v>218</v>
      </c>
      <c r="B253" s="96"/>
      <c r="C253" s="96"/>
      <c r="D253" s="96"/>
      <c r="E253" s="96"/>
      <c r="F253" s="96"/>
      <c r="G253" s="96"/>
      <c r="H253" s="96"/>
      <c r="I253" s="96"/>
      <c r="J253" s="96"/>
      <c r="K253" s="226"/>
      <c r="N253" s="107"/>
      <c r="O253" s="107"/>
      <c r="P253" s="107"/>
      <c r="Q253" s="107"/>
      <c r="R253" s="107"/>
      <c r="S253" s="107"/>
      <c r="T253" s="107"/>
      <c r="U253" s="107"/>
      <c r="V253" s="107"/>
      <c r="W253" s="107"/>
      <c r="X253" s="107"/>
      <c r="Y253" s="107"/>
      <c r="Z253" s="107"/>
      <c r="AA253" s="107"/>
      <c r="AB253" s="107"/>
      <c r="AC253" s="107"/>
      <c r="AD253" s="107"/>
      <c r="AE253" s="107"/>
      <c r="AF253" s="107"/>
      <c r="AG253" s="107"/>
      <c r="AH253" s="107"/>
      <c r="AI253" s="107"/>
      <c r="AJ253" s="107"/>
      <c r="AK253" s="107"/>
      <c r="AL253" s="107"/>
      <c r="AM253" s="107"/>
    </row>
    <row r="254" spans="1:39" ht="25" customHeight="1" x14ac:dyDescent="0.35">
      <c r="A254" s="96" t="s">
        <v>211</v>
      </c>
      <c r="B254" s="96"/>
      <c r="C254" s="96"/>
      <c r="D254" s="96"/>
      <c r="E254" s="96"/>
      <c r="F254" s="96"/>
      <c r="G254" s="96"/>
      <c r="H254" s="96"/>
      <c r="I254" s="96"/>
      <c r="J254" s="96"/>
      <c r="K254" s="226"/>
      <c r="N254" s="107"/>
      <c r="O254" s="107"/>
      <c r="P254" s="107"/>
      <c r="Q254" s="107"/>
      <c r="R254" s="107"/>
      <c r="S254" s="107"/>
      <c r="T254" s="107"/>
      <c r="U254" s="107"/>
      <c r="V254" s="107"/>
      <c r="W254" s="107"/>
      <c r="X254" s="107"/>
      <c r="Y254" s="107"/>
      <c r="Z254" s="107"/>
      <c r="AA254" s="107"/>
      <c r="AB254" s="107"/>
      <c r="AC254" s="107"/>
      <c r="AD254" s="107"/>
      <c r="AE254" s="107"/>
      <c r="AF254" s="107"/>
      <c r="AG254" s="107"/>
      <c r="AH254" s="107"/>
      <c r="AI254" s="107"/>
      <c r="AJ254" s="107"/>
      <c r="AK254" s="107"/>
      <c r="AL254" s="107"/>
      <c r="AM254" s="107"/>
    </row>
    <row r="255" spans="1:39" ht="25" customHeight="1" x14ac:dyDescent="0.35">
      <c r="A255" s="96" t="s">
        <v>219</v>
      </c>
      <c r="B255" s="96"/>
      <c r="C255" s="96"/>
      <c r="D255" s="96"/>
      <c r="E255" s="96"/>
      <c r="F255" s="96"/>
      <c r="G255" s="96"/>
      <c r="H255" s="96"/>
      <c r="I255" s="96"/>
      <c r="J255" s="96"/>
      <c r="K255" s="226"/>
      <c r="N255" s="107"/>
      <c r="O255" s="107"/>
      <c r="P255" s="107"/>
      <c r="Q255" s="107"/>
      <c r="R255" s="107"/>
      <c r="S255" s="107"/>
      <c r="T255" s="107"/>
      <c r="U255" s="107"/>
      <c r="V255" s="107"/>
      <c r="W255" s="107"/>
      <c r="X255" s="107"/>
      <c r="Y255" s="107"/>
      <c r="Z255" s="107"/>
      <c r="AA255" s="107"/>
      <c r="AB255" s="107"/>
      <c r="AC255" s="107"/>
      <c r="AD255" s="107"/>
      <c r="AE255" s="107"/>
      <c r="AF255" s="107"/>
      <c r="AG255" s="107"/>
      <c r="AH255" s="107"/>
      <c r="AI255" s="107"/>
      <c r="AJ255" s="107"/>
      <c r="AK255" s="107"/>
      <c r="AL255" s="107"/>
      <c r="AM255" s="107"/>
    </row>
    <row r="256" spans="1:39" ht="25" customHeight="1" x14ac:dyDescent="0.35">
      <c r="A256" s="96" t="s">
        <v>220</v>
      </c>
      <c r="B256" s="96"/>
      <c r="C256" s="96"/>
      <c r="D256" s="96"/>
      <c r="E256" s="96"/>
      <c r="F256" s="96"/>
      <c r="G256" s="96"/>
      <c r="H256" s="96"/>
      <c r="I256" s="96"/>
      <c r="J256" s="96"/>
      <c r="K256" s="226"/>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7"/>
      <c r="AI256" s="107"/>
      <c r="AJ256" s="107"/>
      <c r="AK256" s="107"/>
      <c r="AL256" s="107"/>
      <c r="AM256" s="107"/>
    </row>
    <row r="257" spans="1:39" ht="25" customHeight="1" x14ac:dyDescent="0.35">
      <c r="A257" s="96" t="s">
        <v>221</v>
      </c>
      <c r="B257" s="96"/>
      <c r="C257" s="96"/>
      <c r="D257" s="96"/>
      <c r="E257" s="96"/>
      <c r="F257" s="96"/>
      <c r="G257" s="96"/>
      <c r="H257" s="96"/>
      <c r="I257" s="96"/>
      <c r="J257" s="96"/>
      <c r="K257" s="226"/>
      <c r="N257" s="107"/>
      <c r="O257" s="107"/>
      <c r="P257" s="107"/>
      <c r="Q257" s="107"/>
      <c r="R257" s="107"/>
      <c r="S257" s="107"/>
      <c r="T257" s="107"/>
      <c r="U257" s="107"/>
      <c r="V257" s="107"/>
      <c r="W257" s="107"/>
      <c r="X257" s="107"/>
      <c r="Y257" s="107"/>
      <c r="Z257" s="107"/>
      <c r="AA257" s="107"/>
      <c r="AB257" s="107"/>
      <c r="AC257" s="107"/>
      <c r="AD257" s="107"/>
      <c r="AE257" s="107"/>
      <c r="AF257" s="107"/>
      <c r="AG257" s="107"/>
      <c r="AH257" s="107"/>
      <c r="AI257" s="107"/>
      <c r="AJ257" s="107"/>
      <c r="AK257" s="107"/>
      <c r="AL257" s="107"/>
      <c r="AM257" s="107"/>
    </row>
    <row r="258" spans="1:39" ht="25" customHeight="1" x14ac:dyDescent="0.35">
      <c r="A258" s="96" t="s">
        <v>212</v>
      </c>
      <c r="B258" s="96"/>
      <c r="C258" s="96"/>
      <c r="D258" s="96"/>
      <c r="E258" s="96"/>
      <c r="F258" s="96"/>
      <c r="G258" s="96"/>
      <c r="H258" s="96"/>
      <c r="I258" s="96"/>
      <c r="J258" s="96"/>
      <c r="K258" s="226"/>
      <c r="N258" s="107"/>
      <c r="O258" s="107"/>
      <c r="P258" s="107"/>
      <c r="Q258" s="107"/>
      <c r="R258" s="107"/>
      <c r="S258" s="107"/>
      <c r="T258" s="107"/>
      <c r="U258" s="107"/>
      <c r="V258" s="107"/>
      <c r="W258" s="107"/>
      <c r="X258" s="107"/>
      <c r="Y258" s="107"/>
      <c r="Z258" s="107"/>
      <c r="AA258" s="107"/>
      <c r="AB258" s="107"/>
      <c r="AC258" s="107"/>
      <c r="AD258" s="107"/>
      <c r="AE258" s="107"/>
      <c r="AF258" s="107"/>
      <c r="AG258" s="107"/>
      <c r="AH258" s="107"/>
      <c r="AI258" s="107"/>
      <c r="AJ258" s="107"/>
      <c r="AK258" s="107"/>
      <c r="AL258" s="107"/>
      <c r="AM258" s="107"/>
    </row>
    <row r="259" spans="1:39" ht="25" customHeight="1" x14ac:dyDescent="0.35">
      <c r="A259" s="96" t="s">
        <v>222</v>
      </c>
      <c r="B259" s="96"/>
      <c r="C259" s="96"/>
      <c r="D259" s="96"/>
      <c r="E259" s="96"/>
      <c r="F259" s="96"/>
      <c r="G259" s="96"/>
      <c r="H259" s="96"/>
      <c r="I259" s="96"/>
      <c r="J259" s="96"/>
      <c r="K259" s="226"/>
      <c r="N259" s="107"/>
      <c r="O259" s="107"/>
      <c r="P259" s="107"/>
      <c r="Q259" s="107"/>
      <c r="R259" s="107"/>
      <c r="S259" s="107"/>
      <c r="T259" s="107"/>
      <c r="U259" s="107"/>
      <c r="V259" s="107"/>
      <c r="W259" s="107"/>
      <c r="X259" s="107"/>
      <c r="Y259" s="107"/>
      <c r="Z259" s="107"/>
      <c r="AA259" s="107"/>
      <c r="AB259" s="107"/>
      <c r="AC259" s="107"/>
      <c r="AD259" s="107"/>
      <c r="AE259" s="107"/>
      <c r="AF259" s="107"/>
      <c r="AG259" s="107"/>
      <c r="AH259" s="107"/>
      <c r="AI259" s="107"/>
      <c r="AJ259" s="107"/>
      <c r="AK259" s="107"/>
      <c r="AL259" s="107"/>
      <c r="AM259" s="107"/>
    </row>
    <row r="260" spans="1:39" ht="25" customHeight="1" x14ac:dyDescent="0.35">
      <c r="A260" s="96" t="s">
        <v>223</v>
      </c>
      <c r="B260" s="96"/>
      <c r="C260" s="96"/>
      <c r="D260" s="96"/>
      <c r="E260" s="96"/>
      <c r="F260" s="96"/>
      <c r="G260" s="96"/>
      <c r="H260" s="96"/>
      <c r="I260" s="96"/>
      <c r="J260" s="96"/>
      <c r="K260" s="226"/>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7"/>
      <c r="AI260" s="107"/>
      <c r="AJ260" s="107"/>
      <c r="AK260" s="107"/>
      <c r="AL260" s="107"/>
      <c r="AM260" s="107"/>
    </row>
    <row r="261" spans="1:39" ht="25" customHeight="1" x14ac:dyDescent="0.35">
      <c r="A261" s="96" t="s">
        <v>221</v>
      </c>
      <c r="B261" s="96"/>
      <c r="C261" s="96"/>
      <c r="D261" s="96"/>
      <c r="E261" s="96"/>
      <c r="F261" s="96"/>
      <c r="G261" s="96"/>
      <c r="H261" s="96"/>
      <c r="I261" s="96"/>
      <c r="J261" s="96"/>
      <c r="K261" s="226"/>
      <c r="N261" s="107"/>
      <c r="O261" s="107"/>
      <c r="P261" s="107"/>
      <c r="Q261" s="107"/>
      <c r="R261" s="107"/>
      <c r="S261" s="107"/>
      <c r="T261" s="107"/>
      <c r="U261" s="107"/>
      <c r="V261" s="107"/>
      <c r="W261" s="107"/>
      <c r="X261" s="107"/>
      <c r="Y261" s="107"/>
      <c r="Z261" s="107"/>
      <c r="AA261" s="107"/>
      <c r="AB261" s="107"/>
      <c r="AC261" s="107"/>
      <c r="AD261" s="107"/>
      <c r="AE261" s="107"/>
      <c r="AF261" s="107"/>
      <c r="AG261" s="107"/>
      <c r="AH261" s="107"/>
      <c r="AI261" s="107"/>
      <c r="AJ261" s="107"/>
      <c r="AK261" s="107"/>
      <c r="AL261" s="107"/>
      <c r="AM261" s="107"/>
    </row>
    <row r="262" spans="1:39" ht="25" customHeight="1" x14ac:dyDescent="0.35">
      <c r="A262" s="96"/>
      <c r="B262" s="96"/>
      <c r="C262" s="96"/>
      <c r="D262" s="96"/>
      <c r="E262" s="96"/>
      <c r="F262" s="96"/>
      <c r="G262" s="96"/>
      <c r="H262" s="96"/>
      <c r="I262" s="96"/>
      <c r="J262" s="96"/>
      <c r="K262" s="226"/>
      <c r="N262" s="107"/>
      <c r="O262" s="107"/>
      <c r="P262" s="107"/>
      <c r="Q262" s="107"/>
      <c r="R262" s="107"/>
      <c r="S262" s="107"/>
      <c r="T262" s="107"/>
      <c r="U262" s="107"/>
      <c r="V262" s="107"/>
      <c r="W262" s="107"/>
      <c r="X262" s="107"/>
      <c r="Y262" s="107"/>
      <c r="Z262" s="107"/>
      <c r="AA262" s="107"/>
      <c r="AB262" s="107"/>
      <c r="AC262" s="107"/>
      <c r="AD262" s="107"/>
      <c r="AE262" s="107"/>
      <c r="AF262" s="107"/>
      <c r="AG262" s="107"/>
      <c r="AH262" s="107"/>
      <c r="AI262" s="107"/>
      <c r="AJ262" s="107"/>
      <c r="AK262" s="107"/>
      <c r="AL262" s="107"/>
      <c r="AM262" s="107"/>
    </row>
    <row r="263" spans="1:39" ht="25" customHeight="1" x14ac:dyDescent="0.35">
      <c r="A263" s="96"/>
      <c r="B263" s="96"/>
      <c r="C263" s="96"/>
      <c r="D263" s="96"/>
      <c r="E263" s="96"/>
      <c r="F263" s="96"/>
      <c r="G263" s="96"/>
      <c r="H263" s="96"/>
      <c r="I263" s="96"/>
      <c r="J263" s="96"/>
      <c r="K263" s="226"/>
      <c r="N263" s="107"/>
      <c r="O263" s="107"/>
      <c r="P263" s="107"/>
      <c r="Q263" s="107"/>
      <c r="R263" s="107"/>
      <c r="S263" s="107"/>
      <c r="T263" s="107"/>
      <c r="U263" s="107"/>
      <c r="V263" s="107"/>
      <c r="W263" s="107"/>
      <c r="X263" s="107"/>
      <c r="Y263" s="107"/>
      <c r="Z263" s="107"/>
      <c r="AA263" s="107"/>
      <c r="AB263" s="107"/>
      <c r="AC263" s="107"/>
      <c r="AD263" s="107"/>
      <c r="AE263" s="107"/>
      <c r="AF263" s="107"/>
      <c r="AG263" s="107"/>
      <c r="AH263" s="107"/>
      <c r="AI263" s="107"/>
      <c r="AJ263" s="107"/>
      <c r="AK263" s="107"/>
      <c r="AL263" s="107"/>
      <c r="AM263" s="107"/>
    </row>
    <row r="264" spans="1:39" ht="25" customHeight="1" x14ac:dyDescent="0.35">
      <c r="A264" s="96" t="s">
        <v>210</v>
      </c>
      <c r="B264" s="96"/>
      <c r="C264" s="96"/>
      <c r="D264" s="96"/>
      <c r="E264" s="96"/>
      <c r="F264" s="96"/>
      <c r="G264" s="96"/>
      <c r="H264" s="96"/>
      <c r="I264" s="96"/>
      <c r="J264" s="96"/>
      <c r="K264" s="226"/>
      <c r="N264" s="107"/>
      <c r="O264" s="107"/>
      <c r="P264" s="107"/>
      <c r="Q264" s="107"/>
      <c r="R264" s="107"/>
      <c r="S264" s="107"/>
      <c r="T264" s="107"/>
      <c r="U264" s="107"/>
      <c r="V264" s="107"/>
      <c r="W264" s="107"/>
      <c r="X264" s="107"/>
      <c r="Y264" s="107"/>
      <c r="Z264" s="107"/>
      <c r="AA264" s="107"/>
      <c r="AB264" s="107"/>
      <c r="AC264" s="107"/>
      <c r="AD264" s="107"/>
      <c r="AE264" s="107"/>
      <c r="AF264" s="107"/>
      <c r="AG264" s="107"/>
      <c r="AH264" s="107"/>
      <c r="AI264" s="107"/>
      <c r="AJ264" s="107"/>
      <c r="AK264" s="107"/>
      <c r="AL264" s="107"/>
      <c r="AM264" s="107"/>
    </row>
    <row r="265" spans="1:39" ht="25" customHeight="1" x14ac:dyDescent="0.35">
      <c r="A265" s="96" t="s">
        <v>31</v>
      </c>
      <c r="B265" s="96"/>
      <c r="C265" s="96"/>
      <c r="D265" s="96"/>
      <c r="E265" s="96"/>
      <c r="F265" s="96"/>
      <c r="G265" s="96"/>
      <c r="H265" s="96"/>
      <c r="I265" s="96"/>
      <c r="J265" s="96"/>
      <c r="K265" s="226"/>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7"/>
      <c r="AI265" s="107"/>
      <c r="AJ265" s="107"/>
      <c r="AK265" s="107"/>
      <c r="AL265" s="107"/>
      <c r="AM265" s="107"/>
    </row>
    <row r="266" spans="1:39" ht="25" customHeight="1" x14ac:dyDescent="0.35">
      <c r="A266" s="96" t="s">
        <v>224</v>
      </c>
      <c r="B266" s="96"/>
      <c r="C266" s="96"/>
      <c r="D266" s="96"/>
      <c r="E266" s="96"/>
      <c r="F266" s="96"/>
      <c r="G266" s="96"/>
      <c r="H266" s="96"/>
      <c r="I266" s="96"/>
      <c r="J266" s="96"/>
      <c r="K266" s="226"/>
      <c r="N266" s="107"/>
      <c r="O266" s="107"/>
      <c r="P266" s="107"/>
      <c r="Q266" s="107"/>
      <c r="R266" s="107"/>
      <c r="S266" s="107"/>
      <c r="T266" s="107"/>
      <c r="U266" s="107"/>
      <c r="V266" s="107"/>
      <c r="W266" s="107"/>
      <c r="X266" s="107"/>
      <c r="Y266" s="107"/>
      <c r="Z266" s="107"/>
      <c r="AA266" s="107"/>
      <c r="AB266" s="107"/>
      <c r="AC266" s="107"/>
      <c r="AD266" s="107"/>
      <c r="AE266" s="107"/>
      <c r="AF266" s="107"/>
      <c r="AG266" s="107"/>
      <c r="AH266" s="107"/>
      <c r="AI266" s="107"/>
      <c r="AJ266" s="107"/>
      <c r="AK266" s="107"/>
      <c r="AL266" s="107"/>
      <c r="AM266" s="107"/>
    </row>
    <row r="267" spans="1:39" ht="25" customHeight="1" x14ac:dyDescent="0.35">
      <c r="A267" s="96" t="s">
        <v>225</v>
      </c>
      <c r="B267" s="96"/>
      <c r="C267" s="96"/>
      <c r="D267" s="96"/>
      <c r="E267" s="96"/>
      <c r="F267" s="96"/>
      <c r="G267" s="96"/>
      <c r="H267" s="96"/>
      <c r="I267" s="96"/>
      <c r="J267" s="96"/>
      <c r="K267" s="226"/>
      <c r="N267" s="107"/>
      <c r="O267" s="107"/>
      <c r="P267" s="107"/>
      <c r="Q267" s="107"/>
      <c r="R267" s="107"/>
      <c r="S267" s="107"/>
      <c r="T267" s="107"/>
      <c r="U267" s="107"/>
      <c r="V267" s="107"/>
      <c r="W267" s="107"/>
      <c r="X267" s="107"/>
      <c r="Y267" s="107"/>
      <c r="Z267" s="107"/>
      <c r="AA267" s="107"/>
      <c r="AB267" s="107"/>
      <c r="AC267" s="107"/>
      <c r="AD267" s="107"/>
      <c r="AE267" s="107"/>
      <c r="AF267" s="107"/>
      <c r="AG267" s="107"/>
      <c r="AH267" s="107"/>
      <c r="AI267" s="107"/>
      <c r="AJ267" s="107"/>
      <c r="AK267" s="107"/>
      <c r="AL267" s="107"/>
      <c r="AM267" s="107"/>
    </row>
    <row r="268" spans="1:39" ht="25" customHeight="1" x14ac:dyDescent="0.35">
      <c r="A268" s="96"/>
      <c r="B268" s="96"/>
      <c r="C268" s="96"/>
      <c r="D268" s="96"/>
      <c r="E268" s="96"/>
      <c r="F268" s="96"/>
      <c r="G268" s="96"/>
      <c r="H268" s="96"/>
      <c r="I268" s="96"/>
      <c r="J268" s="96"/>
      <c r="K268" s="226"/>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7"/>
      <c r="AI268" s="107"/>
      <c r="AJ268" s="107"/>
      <c r="AK268" s="107"/>
      <c r="AL268" s="107"/>
      <c r="AM268" s="107"/>
    </row>
    <row r="269" spans="1:39" ht="25" customHeight="1" x14ac:dyDescent="0.35">
      <c r="A269" s="96" t="s">
        <v>211</v>
      </c>
      <c r="B269" s="96"/>
      <c r="C269" s="96"/>
      <c r="D269" s="96"/>
      <c r="E269" s="96"/>
      <c r="F269" s="96"/>
      <c r="G269" s="96"/>
      <c r="H269" s="96"/>
      <c r="I269" s="96"/>
      <c r="J269" s="96"/>
      <c r="K269" s="226"/>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7"/>
      <c r="AI269" s="107"/>
      <c r="AJ269" s="107"/>
      <c r="AK269" s="107"/>
      <c r="AL269" s="107"/>
      <c r="AM269" s="107"/>
    </row>
    <row r="270" spans="1:39" ht="25" customHeight="1" x14ac:dyDescent="0.35">
      <c r="A270" s="96" t="s">
        <v>31</v>
      </c>
      <c r="B270" s="96"/>
      <c r="C270" s="96"/>
      <c r="D270" s="96"/>
      <c r="E270" s="96"/>
      <c r="F270" s="96"/>
      <c r="G270" s="96"/>
      <c r="H270" s="96"/>
      <c r="I270" s="96"/>
      <c r="J270" s="96"/>
      <c r="K270" s="226"/>
      <c r="N270" s="107"/>
      <c r="O270" s="107"/>
      <c r="P270" s="107"/>
      <c r="Q270" s="107"/>
      <c r="R270" s="107"/>
      <c r="S270" s="107"/>
      <c r="T270" s="107"/>
      <c r="U270" s="107"/>
      <c r="V270" s="107"/>
      <c r="W270" s="107"/>
      <c r="X270" s="107"/>
      <c r="Y270" s="107"/>
      <c r="Z270" s="107"/>
      <c r="AA270" s="107"/>
      <c r="AB270" s="107"/>
      <c r="AC270" s="107"/>
      <c r="AD270" s="107"/>
      <c r="AE270" s="107"/>
      <c r="AF270" s="107"/>
      <c r="AG270" s="107"/>
      <c r="AH270" s="107"/>
      <c r="AI270" s="107"/>
      <c r="AJ270" s="107"/>
      <c r="AK270" s="107"/>
      <c r="AL270" s="107"/>
      <c r="AM270" s="107"/>
    </row>
    <row r="271" spans="1:39" ht="25" customHeight="1" x14ac:dyDescent="0.35">
      <c r="A271" s="96" t="s">
        <v>224</v>
      </c>
      <c r="B271" s="96"/>
      <c r="C271" s="96"/>
      <c r="D271" s="96"/>
      <c r="E271" s="96"/>
      <c r="F271" s="96"/>
      <c r="G271" s="96"/>
      <c r="H271" s="96"/>
      <c r="I271" s="96"/>
      <c r="J271" s="96"/>
      <c r="K271" s="226"/>
      <c r="N271" s="107"/>
      <c r="O271" s="107"/>
      <c r="P271" s="107"/>
      <c r="Q271" s="107"/>
      <c r="R271" s="107"/>
      <c r="S271" s="107"/>
      <c r="T271" s="107"/>
      <c r="U271" s="107"/>
      <c r="V271" s="107"/>
      <c r="W271" s="107"/>
      <c r="X271" s="107"/>
      <c r="Y271" s="107"/>
      <c r="Z271" s="107"/>
      <c r="AA271" s="107"/>
      <c r="AB271" s="107"/>
      <c r="AC271" s="107"/>
      <c r="AD271" s="107"/>
      <c r="AE271" s="107"/>
      <c r="AF271" s="107"/>
      <c r="AG271" s="107"/>
      <c r="AH271" s="107"/>
      <c r="AI271" s="107"/>
      <c r="AJ271" s="107"/>
      <c r="AK271" s="107"/>
      <c r="AL271" s="107"/>
      <c r="AM271" s="107"/>
    </row>
    <row r="272" spans="1:39" ht="25" customHeight="1" x14ac:dyDescent="0.35">
      <c r="A272" s="96" t="s">
        <v>225</v>
      </c>
      <c r="B272" s="96"/>
      <c r="C272" s="96"/>
      <c r="D272" s="96"/>
      <c r="E272" s="96"/>
      <c r="F272" s="96"/>
      <c r="G272" s="96"/>
      <c r="H272" s="96"/>
      <c r="I272" s="96"/>
      <c r="J272" s="96"/>
      <c r="K272" s="226"/>
      <c r="N272" s="107"/>
      <c r="O272" s="107"/>
      <c r="P272" s="107"/>
      <c r="Q272" s="107"/>
      <c r="R272" s="107"/>
      <c r="S272" s="107"/>
      <c r="T272" s="107"/>
      <c r="U272" s="107"/>
      <c r="V272" s="107"/>
      <c r="W272" s="107"/>
      <c r="X272" s="107"/>
      <c r="Y272" s="107"/>
      <c r="Z272" s="107"/>
      <c r="AA272" s="107"/>
      <c r="AB272" s="107"/>
      <c r="AC272" s="107"/>
      <c r="AD272" s="107"/>
      <c r="AE272" s="107"/>
      <c r="AF272" s="107"/>
      <c r="AG272" s="107"/>
      <c r="AH272" s="107"/>
      <c r="AI272" s="107"/>
      <c r="AJ272" s="107"/>
      <c r="AK272" s="107"/>
      <c r="AL272" s="107"/>
      <c r="AM272" s="107"/>
    </row>
    <row r="273" spans="1:39" ht="25" customHeight="1" x14ac:dyDescent="0.35">
      <c r="A273" s="96"/>
      <c r="B273" s="96"/>
      <c r="C273" s="96"/>
      <c r="D273" s="96"/>
      <c r="E273" s="96"/>
      <c r="F273" s="96"/>
      <c r="G273" s="96"/>
      <c r="H273" s="96"/>
      <c r="I273" s="96"/>
      <c r="J273" s="96"/>
      <c r="K273" s="226"/>
      <c r="N273" s="107"/>
      <c r="O273" s="107"/>
      <c r="P273" s="107"/>
      <c r="Q273" s="107"/>
      <c r="R273" s="107"/>
      <c r="S273" s="107"/>
      <c r="T273" s="107"/>
      <c r="U273" s="107"/>
      <c r="V273" s="107"/>
      <c r="W273" s="107"/>
      <c r="X273" s="107"/>
      <c r="Y273" s="107"/>
      <c r="Z273" s="107"/>
      <c r="AA273" s="107"/>
      <c r="AB273" s="107"/>
      <c r="AC273" s="107"/>
      <c r="AD273" s="107"/>
      <c r="AE273" s="107"/>
      <c r="AF273" s="107"/>
      <c r="AG273" s="107"/>
      <c r="AH273" s="107"/>
      <c r="AI273" s="107"/>
      <c r="AJ273" s="107"/>
      <c r="AK273" s="107"/>
      <c r="AL273" s="107"/>
      <c r="AM273" s="107"/>
    </row>
    <row r="274" spans="1:39" ht="25" customHeight="1" x14ac:dyDescent="0.35">
      <c r="A274" s="96" t="s">
        <v>212</v>
      </c>
      <c r="B274" s="96"/>
      <c r="C274" s="96"/>
      <c r="D274" s="96"/>
      <c r="E274" s="96"/>
      <c r="F274" s="96"/>
      <c r="G274" s="96"/>
      <c r="H274" s="96"/>
      <c r="I274" s="96"/>
      <c r="N274" s="107"/>
      <c r="O274" s="107"/>
      <c r="P274" s="107"/>
      <c r="Q274" s="107"/>
      <c r="R274" s="107"/>
      <c r="S274" s="107"/>
      <c r="T274" s="107"/>
      <c r="U274" s="107"/>
      <c r="V274" s="107"/>
      <c r="W274" s="107"/>
      <c r="X274" s="107"/>
      <c r="Y274" s="107"/>
      <c r="Z274" s="107"/>
      <c r="AA274" s="107"/>
      <c r="AB274" s="107"/>
      <c r="AC274" s="107"/>
      <c r="AD274" s="107"/>
      <c r="AE274" s="107"/>
      <c r="AF274" s="107"/>
      <c r="AG274" s="107"/>
      <c r="AH274" s="107"/>
      <c r="AI274" s="107"/>
      <c r="AJ274" s="107"/>
      <c r="AK274" s="107"/>
      <c r="AL274" s="107"/>
      <c r="AM274" s="107"/>
    </row>
    <row r="275" spans="1:39" ht="25" customHeight="1" x14ac:dyDescent="0.35">
      <c r="A275" s="96" t="s">
        <v>31</v>
      </c>
      <c r="B275" s="96"/>
      <c r="C275" s="96"/>
      <c r="D275" s="96"/>
      <c r="E275" s="96"/>
      <c r="F275" s="96"/>
      <c r="G275" s="96"/>
      <c r="H275" s="96"/>
      <c r="I275" s="96"/>
      <c r="N275" s="107"/>
      <c r="O275" s="107"/>
      <c r="P275" s="107"/>
      <c r="Q275" s="107"/>
      <c r="R275" s="107"/>
      <c r="S275" s="107"/>
      <c r="T275" s="107"/>
      <c r="U275" s="107"/>
      <c r="V275" s="107"/>
      <c r="W275" s="107"/>
      <c r="X275" s="107"/>
      <c r="Y275" s="107"/>
      <c r="Z275" s="107"/>
      <c r="AA275" s="107"/>
      <c r="AB275" s="107"/>
      <c r="AC275" s="107"/>
      <c r="AD275" s="107"/>
      <c r="AE275" s="107"/>
      <c r="AF275" s="107"/>
      <c r="AG275" s="107"/>
      <c r="AH275" s="107"/>
      <c r="AI275" s="107"/>
      <c r="AJ275" s="107"/>
      <c r="AK275" s="107"/>
      <c r="AL275" s="107"/>
      <c r="AM275" s="107"/>
    </row>
    <row r="276" spans="1:39" ht="25" customHeight="1" x14ac:dyDescent="0.35">
      <c r="A276" s="96" t="s">
        <v>224</v>
      </c>
      <c r="B276" s="96"/>
      <c r="C276" s="96"/>
      <c r="D276" s="96"/>
      <c r="E276" s="96"/>
      <c r="F276" s="96"/>
      <c r="G276" s="96"/>
      <c r="H276" s="96"/>
      <c r="I276" s="96"/>
      <c r="N276" s="107"/>
      <c r="O276" s="107"/>
      <c r="P276" s="107"/>
      <c r="Q276" s="107"/>
      <c r="R276" s="107"/>
      <c r="S276" s="107"/>
      <c r="T276" s="107"/>
      <c r="U276" s="107"/>
      <c r="V276" s="107"/>
      <c r="W276" s="107"/>
      <c r="X276" s="107"/>
      <c r="Y276" s="107"/>
      <c r="Z276" s="107"/>
      <c r="AA276" s="107"/>
      <c r="AB276" s="107"/>
      <c r="AC276" s="107"/>
      <c r="AD276" s="107"/>
      <c r="AE276" s="107"/>
      <c r="AF276" s="107"/>
      <c r="AG276" s="107"/>
      <c r="AH276" s="107"/>
      <c r="AI276" s="107"/>
      <c r="AJ276" s="107"/>
      <c r="AK276" s="107"/>
      <c r="AL276" s="107"/>
      <c r="AM276" s="107"/>
    </row>
    <row r="277" spans="1:39" ht="25" customHeight="1" x14ac:dyDescent="0.35">
      <c r="A277" s="96" t="s">
        <v>225</v>
      </c>
      <c r="B277" s="96"/>
      <c r="C277" s="96"/>
      <c r="D277" s="96"/>
      <c r="E277" s="96"/>
      <c r="F277" s="96"/>
      <c r="G277" s="96"/>
      <c r="H277" s="96"/>
      <c r="I277" s="96"/>
      <c r="N277" s="107"/>
      <c r="O277" s="107"/>
      <c r="P277" s="107"/>
      <c r="Q277" s="107"/>
      <c r="R277" s="107"/>
      <c r="S277" s="107"/>
      <c r="T277" s="107"/>
      <c r="U277" s="107"/>
      <c r="V277" s="107"/>
      <c r="W277" s="107"/>
      <c r="X277" s="107"/>
      <c r="Y277" s="107"/>
      <c r="Z277" s="107"/>
      <c r="AA277" s="107"/>
      <c r="AB277" s="107"/>
      <c r="AC277" s="107"/>
      <c r="AD277" s="107"/>
      <c r="AE277" s="107"/>
      <c r="AF277" s="107"/>
      <c r="AG277" s="107"/>
      <c r="AH277" s="107"/>
      <c r="AI277" s="107"/>
      <c r="AJ277" s="107"/>
      <c r="AK277" s="107"/>
      <c r="AL277" s="107"/>
      <c r="AM277" s="107"/>
    </row>
    <row r="278" spans="1:39" ht="25" customHeight="1" x14ac:dyDescent="0.35">
      <c r="A278" s="96"/>
      <c r="B278" s="96"/>
      <c r="C278" s="96"/>
      <c r="D278" s="96"/>
      <c r="E278" s="96"/>
      <c r="F278" s="96"/>
      <c r="G278" s="96"/>
      <c r="H278" s="96"/>
      <c r="I278" s="96"/>
      <c r="N278" s="107"/>
      <c r="O278" s="107"/>
      <c r="P278" s="107"/>
      <c r="Q278" s="107"/>
      <c r="R278" s="107"/>
      <c r="S278" s="107"/>
      <c r="T278" s="107"/>
      <c r="U278" s="107"/>
      <c r="V278" s="107"/>
      <c r="W278" s="107"/>
      <c r="X278" s="107"/>
      <c r="Y278" s="107"/>
      <c r="Z278" s="107"/>
      <c r="AA278" s="107"/>
      <c r="AB278" s="107"/>
      <c r="AC278" s="107"/>
      <c r="AD278" s="107"/>
      <c r="AE278" s="107"/>
      <c r="AF278" s="107"/>
      <c r="AG278" s="107"/>
      <c r="AH278" s="107"/>
      <c r="AI278" s="107"/>
      <c r="AJ278" s="107"/>
      <c r="AK278" s="107"/>
      <c r="AL278" s="107"/>
      <c r="AM278" s="107"/>
    </row>
    <row r="279" spans="1:39" ht="25" customHeight="1" x14ac:dyDescent="0.35">
      <c r="A279" s="96" t="s">
        <v>226</v>
      </c>
      <c r="B279" s="96"/>
      <c r="C279" s="96"/>
      <c r="D279" s="96"/>
      <c r="E279" s="96"/>
      <c r="F279" s="96"/>
      <c r="G279" s="96"/>
      <c r="H279" s="96"/>
      <c r="I279" s="96"/>
      <c r="N279" s="107"/>
      <c r="O279" s="107"/>
      <c r="P279" s="107"/>
      <c r="Q279" s="107"/>
      <c r="R279" s="107"/>
      <c r="S279" s="107"/>
      <c r="T279" s="107"/>
      <c r="U279" s="107"/>
      <c r="V279" s="107"/>
      <c r="W279" s="107"/>
      <c r="X279" s="107"/>
      <c r="Y279" s="107"/>
      <c r="Z279" s="107"/>
      <c r="AA279" s="107"/>
      <c r="AB279" s="107"/>
      <c r="AC279" s="107"/>
      <c r="AD279" s="107"/>
      <c r="AE279" s="107"/>
      <c r="AF279" s="107"/>
      <c r="AG279" s="107"/>
      <c r="AH279" s="107"/>
      <c r="AI279" s="107"/>
      <c r="AJ279" s="107"/>
      <c r="AK279" s="107"/>
      <c r="AL279" s="107"/>
      <c r="AM279" s="107"/>
    </row>
    <row r="280" spans="1:39" ht="25" customHeight="1" x14ac:dyDescent="0.35">
      <c r="A280" s="96" t="s">
        <v>31</v>
      </c>
      <c r="B280" s="96"/>
      <c r="C280" s="96"/>
      <c r="D280" s="96"/>
      <c r="E280" s="96"/>
      <c r="F280" s="96"/>
      <c r="G280" s="96"/>
      <c r="H280" s="96"/>
      <c r="I280" s="96"/>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07"/>
      <c r="AJ280" s="107"/>
      <c r="AK280" s="107"/>
      <c r="AL280" s="107"/>
      <c r="AM280" s="107"/>
    </row>
    <row r="281" spans="1:39" ht="25" customHeight="1" x14ac:dyDescent="0.35">
      <c r="A281" s="96" t="s">
        <v>224</v>
      </c>
      <c r="B281" s="96"/>
      <c r="C281" s="96"/>
      <c r="D281" s="96"/>
      <c r="E281" s="96"/>
      <c r="F281" s="96"/>
      <c r="G281" s="96"/>
      <c r="H281" s="96"/>
      <c r="I281" s="96"/>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07"/>
      <c r="AK281" s="107"/>
      <c r="AL281" s="107"/>
      <c r="AM281" s="107"/>
    </row>
    <row r="282" spans="1:39" ht="25" customHeight="1" x14ac:dyDescent="0.35">
      <c r="A282" s="96" t="s">
        <v>225</v>
      </c>
      <c r="B282" s="96"/>
      <c r="C282" s="96"/>
      <c r="D282" s="96"/>
      <c r="E282" s="96"/>
      <c r="F282" s="96"/>
      <c r="G282" s="96"/>
      <c r="H282" s="96"/>
      <c r="I282" s="96"/>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7"/>
      <c r="AI282" s="107"/>
      <c r="AJ282" s="107"/>
      <c r="AK282" s="107"/>
      <c r="AL282" s="107"/>
      <c r="AM282" s="107"/>
    </row>
    <row r="283" spans="1:39" ht="25" customHeight="1" x14ac:dyDescent="0.35">
      <c r="A283" s="96"/>
      <c r="B283" s="96"/>
      <c r="C283" s="96"/>
      <c r="D283" s="96"/>
      <c r="E283" s="96"/>
      <c r="F283" s="96"/>
      <c r="G283" s="96"/>
      <c r="H283" s="96"/>
      <c r="I283" s="96"/>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7"/>
      <c r="AI283" s="107"/>
      <c r="AJ283" s="107"/>
      <c r="AK283" s="107"/>
      <c r="AL283" s="107"/>
      <c r="AM283" s="107"/>
    </row>
    <row r="284" spans="1:39" ht="25" customHeight="1" x14ac:dyDescent="0.35">
      <c r="A284" s="96" t="s">
        <v>214</v>
      </c>
      <c r="B284" s="96"/>
      <c r="C284" s="96"/>
      <c r="D284" s="96"/>
      <c r="E284" s="96"/>
      <c r="F284" s="96"/>
      <c r="G284" s="96"/>
      <c r="H284" s="96"/>
      <c r="I284" s="96"/>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7"/>
      <c r="AI284" s="107"/>
      <c r="AJ284" s="107"/>
      <c r="AK284" s="107"/>
      <c r="AL284" s="107"/>
      <c r="AM284" s="107"/>
    </row>
    <row r="285" spans="1:39" ht="25" customHeight="1" x14ac:dyDescent="0.35">
      <c r="A285" s="96" t="s">
        <v>31</v>
      </c>
      <c r="B285" s="96"/>
      <c r="C285" s="96"/>
      <c r="D285" s="96"/>
      <c r="E285" s="96"/>
      <c r="F285" s="96"/>
      <c r="G285" s="96"/>
      <c r="H285" s="96"/>
      <c r="I285" s="96"/>
      <c r="N285" s="107"/>
      <c r="O285" s="107"/>
      <c r="P285" s="107"/>
      <c r="Q285" s="107"/>
      <c r="R285" s="107"/>
      <c r="S285" s="107"/>
      <c r="T285" s="107"/>
      <c r="U285" s="107"/>
      <c r="V285" s="107"/>
      <c r="W285" s="107"/>
      <c r="X285" s="107"/>
      <c r="Y285" s="107"/>
      <c r="Z285" s="107"/>
      <c r="AA285" s="107"/>
      <c r="AB285" s="107"/>
      <c r="AC285" s="107"/>
      <c r="AD285" s="107"/>
      <c r="AE285" s="107"/>
      <c r="AF285" s="107"/>
      <c r="AG285" s="107"/>
      <c r="AH285" s="107"/>
      <c r="AI285" s="107"/>
      <c r="AJ285" s="107"/>
      <c r="AK285" s="107"/>
      <c r="AL285" s="107"/>
      <c r="AM285" s="107"/>
    </row>
    <row r="286" spans="1:39" ht="25" customHeight="1" x14ac:dyDescent="0.35">
      <c r="A286" s="96" t="s">
        <v>224</v>
      </c>
      <c r="B286" s="96"/>
      <c r="C286" s="96"/>
      <c r="D286" s="96"/>
      <c r="E286" s="96"/>
      <c r="F286" s="96"/>
      <c r="G286" s="96"/>
      <c r="H286" s="96"/>
      <c r="I286" s="96"/>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7"/>
      <c r="AI286" s="107"/>
      <c r="AJ286" s="107"/>
      <c r="AK286" s="107"/>
      <c r="AL286" s="107"/>
      <c r="AM286" s="107"/>
    </row>
    <row r="287" spans="1:39" ht="25" customHeight="1" x14ac:dyDescent="0.35">
      <c r="A287" s="96" t="s">
        <v>225</v>
      </c>
      <c r="B287" s="96"/>
      <c r="C287" s="96"/>
      <c r="D287" s="96"/>
      <c r="E287" s="96"/>
      <c r="F287" s="96"/>
      <c r="G287" s="96"/>
      <c r="H287" s="96"/>
      <c r="I287" s="96"/>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7"/>
      <c r="AI287" s="107"/>
      <c r="AJ287" s="107"/>
      <c r="AK287" s="107"/>
      <c r="AL287" s="107"/>
      <c r="AM287" s="107"/>
    </row>
    <row r="288" spans="1:39" ht="25" customHeight="1" x14ac:dyDescent="0.35">
      <c r="A288" s="96"/>
      <c r="B288" s="96"/>
      <c r="C288" s="96"/>
      <c r="D288" s="96"/>
      <c r="E288" s="96"/>
      <c r="F288" s="96"/>
      <c r="G288" s="96"/>
      <c r="H288" s="96"/>
      <c r="I288" s="96"/>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7"/>
      <c r="AI288" s="107"/>
      <c r="AJ288" s="107"/>
      <c r="AK288" s="107"/>
      <c r="AL288" s="107"/>
      <c r="AM288" s="107"/>
    </row>
    <row r="289" spans="1:39" ht="25" customHeight="1" x14ac:dyDescent="0.35">
      <c r="A289" s="96" t="s">
        <v>227</v>
      </c>
      <c r="B289" s="96"/>
      <c r="C289" s="96"/>
      <c r="D289" s="96"/>
      <c r="E289" s="96"/>
      <c r="F289" s="96"/>
      <c r="G289" s="96"/>
      <c r="H289" s="96"/>
      <c r="I289" s="96"/>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7"/>
      <c r="AI289" s="107"/>
      <c r="AJ289" s="107"/>
      <c r="AK289" s="107"/>
      <c r="AL289" s="107"/>
      <c r="AM289" s="107"/>
    </row>
    <row r="290" spans="1:39" ht="25" customHeight="1" x14ac:dyDescent="0.35">
      <c r="A290" s="96" t="s">
        <v>31</v>
      </c>
      <c r="B290" s="96"/>
      <c r="C290" s="96"/>
      <c r="D290" s="96"/>
      <c r="E290" s="96"/>
      <c r="F290" s="96"/>
      <c r="G290" s="96"/>
      <c r="H290" s="96"/>
      <c r="I290" s="96"/>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7"/>
      <c r="AI290" s="107"/>
      <c r="AJ290" s="107"/>
      <c r="AK290" s="107"/>
      <c r="AL290" s="107"/>
      <c r="AM290" s="107"/>
    </row>
    <row r="291" spans="1:39" ht="25" customHeight="1" x14ac:dyDescent="0.35">
      <c r="A291" s="96" t="s">
        <v>224</v>
      </c>
      <c r="B291" s="96"/>
      <c r="C291" s="96"/>
      <c r="D291" s="96"/>
      <c r="E291" s="96"/>
      <c r="F291" s="96"/>
      <c r="N291" s="107"/>
      <c r="O291" s="107"/>
      <c r="P291" s="107"/>
      <c r="Q291" s="107"/>
      <c r="R291" s="107"/>
      <c r="S291" s="107"/>
      <c r="T291" s="107"/>
      <c r="U291" s="107"/>
      <c r="V291" s="107"/>
      <c r="W291" s="107"/>
      <c r="X291" s="107"/>
      <c r="Y291" s="107"/>
      <c r="Z291" s="107"/>
      <c r="AA291" s="107"/>
      <c r="AB291" s="107"/>
      <c r="AC291" s="107"/>
      <c r="AD291" s="107"/>
      <c r="AE291" s="107"/>
      <c r="AF291" s="107"/>
      <c r="AG291" s="107"/>
      <c r="AH291" s="107"/>
      <c r="AI291" s="107"/>
      <c r="AJ291" s="107"/>
      <c r="AK291" s="107"/>
      <c r="AL291" s="107"/>
      <c r="AM291" s="107"/>
    </row>
    <row r="292" spans="1:39" ht="25" customHeight="1" x14ac:dyDescent="0.35">
      <c r="A292" s="96" t="s">
        <v>225</v>
      </c>
      <c r="B292" s="96"/>
      <c r="C292" s="96"/>
      <c r="D292" s="96"/>
      <c r="E292" s="96"/>
      <c r="F292" s="96"/>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c r="AK292" s="107"/>
      <c r="AL292" s="107"/>
      <c r="AM292" s="107"/>
    </row>
    <row r="293" spans="1:39" ht="25" customHeight="1" x14ac:dyDescent="0.35">
      <c r="A293" s="96"/>
      <c r="B293" s="96"/>
      <c r="C293" s="96"/>
      <c r="D293" s="96"/>
      <c r="E293" s="96"/>
      <c r="F293" s="96"/>
      <c r="N293" s="107"/>
      <c r="O293" s="107"/>
      <c r="P293" s="107"/>
      <c r="Q293" s="107"/>
      <c r="R293" s="107"/>
      <c r="S293" s="107"/>
      <c r="T293" s="107"/>
      <c r="U293" s="107"/>
      <c r="V293" s="107"/>
      <c r="W293" s="107"/>
      <c r="X293" s="107"/>
      <c r="Y293" s="107"/>
      <c r="Z293" s="107"/>
      <c r="AA293" s="107"/>
      <c r="AB293" s="107"/>
      <c r="AC293" s="107"/>
      <c r="AD293" s="107"/>
      <c r="AE293" s="107"/>
      <c r="AF293" s="107"/>
      <c r="AG293" s="107"/>
      <c r="AH293" s="107"/>
      <c r="AI293" s="107"/>
      <c r="AJ293" s="107"/>
      <c r="AK293" s="107"/>
      <c r="AL293" s="107"/>
      <c r="AM293" s="107"/>
    </row>
    <row r="294" spans="1:39" ht="25" customHeight="1" x14ac:dyDescent="0.35">
      <c r="A294" s="96" t="s">
        <v>228</v>
      </c>
      <c r="B294" s="96"/>
      <c r="C294" s="96"/>
      <c r="D294" s="96"/>
      <c r="E294" s="96"/>
      <c r="F294" s="96"/>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c r="AK294" s="107"/>
      <c r="AL294" s="107"/>
      <c r="AM294" s="107"/>
    </row>
    <row r="295" spans="1:39" ht="25" customHeight="1" x14ac:dyDescent="0.35">
      <c r="A295" s="96"/>
      <c r="B295" s="96"/>
      <c r="C295" s="96"/>
      <c r="D295" s="96"/>
      <c r="E295" s="96"/>
      <c r="F295" s="96"/>
      <c r="N295" s="107"/>
      <c r="O295" s="107"/>
      <c r="P295" s="107"/>
      <c r="Q295" s="107"/>
      <c r="R295" s="107"/>
      <c r="S295" s="107"/>
      <c r="T295" s="107"/>
      <c r="U295" s="107"/>
      <c r="V295" s="107"/>
      <c r="W295" s="107"/>
      <c r="X295" s="107"/>
      <c r="Y295" s="107"/>
      <c r="Z295" s="107"/>
      <c r="AA295" s="107"/>
      <c r="AB295" s="107"/>
      <c r="AC295" s="107"/>
      <c r="AD295" s="107"/>
      <c r="AE295" s="107"/>
      <c r="AF295" s="107"/>
      <c r="AG295" s="107"/>
      <c r="AH295" s="107"/>
      <c r="AI295" s="107"/>
      <c r="AJ295" s="107"/>
      <c r="AK295" s="107"/>
      <c r="AL295" s="107"/>
      <c r="AM295" s="107"/>
    </row>
    <row r="296" spans="1:39" ht="25" customHeight="1" x14ac:dyDescent="0.35">
      <c r="A296" s="96" t="s">
        <v>229</v>
      </c>
      <c r="B296" s="96"/>
      <c r="C296" s="96"/>
      <c r="D296" s="96"/>
      <c r="E296" s="96"/>
      <c r="F296" s="96"/>
      <c r="N296" s="107"/>
      <c r="O296" s="107"/>
      <c r="P296" s="107"/>
      <c r="Q296" s="107"/>
      <c r="R296" s="107"/>
      <c r="S296" s="107"/>
      <c r="T296" s="107"/>
      <c r="U296" s="107"/>
      <c r="V296" s="107"/>
      <c r="W296" s="107"/>
      <c r="X296" s="107"/>
      <c r="Y296" s="107"/>
      <c r="Z296" s="107"/>
      <c r="AA296" s="107"/>
      <c r="AB296" s="107"/>
      <c r="AC296" s="107"/>
      <c r="AD296" s="107"/>
      <c r="AE296" s="107"/>
      <c r="AF296" s="107"/>
      <c r="AG296" s="107"/>
      <c r="AH296" s="107"/>
      <c r="AI296" s="107"/>
      <c r="AJ296" s="107"/>
      <c r="AK296" s="107"/>
      <c r="AL296" s="107"/>
      <c r="AM296" s="107"/>
    </row>
    <row r="297" spans="1:39" ht="25" customHeight="1" x14ac:dyDescent="0.35">
      <c r="A297" s="96" t="s">
        <v>230</v>
      </c>
      <c r="B297" s="96"/>
      <c r="C297" s="96"/>
      <c r="D297" s="96"/>
      <c r="E297" s="96"/>
      <c r="F297" s="96"/>
      <c r="N297" s="107"/>
      <c r="O297" s="107"/>
      <c r="P297" s="107"/>
      <c r="Q297" s="107"/>
      <c r="R297" s="107"/>
      <c r="S297" s="107"/>
      <c r="T297" s="107"/>
      <c r="U297" s="107"/>
      <c r="V297" s="107"/>
      <c r="W297" s="107"/>
      <c r="X297" s="107"/>
      <c r="Y297" s="107"/>
      <c r="Z297" s="107"/>
      <c r="AA297" s="107"/>
      <c r="AB297" s="107"/>
      <c r="AC297" s="107"/>
      <c r="AD297" s="107"/>
      <c r="AE297" s="107"/>
      <c r="AF297" s="107"/>
      <c r="AG297" s="107"/>
      <c r="AH297" s="107"/>
      <c r="AI297" s="107"/>
      <c r="AJ297" s="107"/>
      <c r="AK297" s="107"/>
      <c r="AL297" s="107"/>
      <c r="AM297" s="107"/>
    </row>
    <row r="298" spans="1:39" ht="25" customHeight="1" x14ac:dyDescent="0.35">
      <c r="A298" s="96" t="s">
        <v>198</v>
      </c>
      <c r="B298" s="96"/>
      <c r="C298" s="96"/>
      <c r="D298" s="96"/>
      <c r="E298" s="96"/>
      <c r="F298" s="96"/>
      <c r="N298" s="107"/>
      <c r="O298" s="107"/>
      <c r="P298" s="107"/>
      <c r="Q298" s="107"/>
      <c r="R298" s="107"/>
      <c r="S298" s="107"/>
      <c r="T298" s="107"/>
      <c r="U298" s="107"/>
      <c r="V298" s="107"/>
      <c r="W298" s="107"/>
      <c r="X298" s="107"/>
      <c r="Y298" s="107"/>
      <c r="Z298" s="107"/>
      <c r="AA298" s="107"/>
      <c r="AB298" s="107"/>
      <c r="AC298" s="107"/>
      <c r="AD298" s="107"/>
      <c r="AE298" s="107"/>
      <c r="AF298" s="107"/>
      <c r="AG298" s="107"/>
      <c r="AH298" s="107"/>
      <c r="AI298" s="107"/>
      <c r="AJ298" s="107"/>
      <c r="AK298" s="107"/>
      <c r="AL298" s="107"/>
      <c r="AM298" s="107"/>
    </row>
    <row r="299" spans="1:39" ht="25" customHeight="1" x14ac:dyDescent="0.35">
      <c r="A299" s="96" t="s">
        <v>193</v>
      </c>
      <c r="B299" s="96"/>
      <c r="C299" s="96"/>
      <c r="D299" s="96"/>
      <c r="E299" s="96"/>
      <c r="F299" s="96"/>
      <c r="N299" s="107"/>
      <c r="O299" s="107"/>
      <c r="P299" s="107"/>
      <c r="Q299" s="107"/>
      <c r="R299" s="107"/>
      <c r="S299" s="107"/>
      <c r="T299" s="107"/>
      <c r="U299" s="107"/>
      <c r="V299" s="107"/>
      <c r="W299" s="107"/>
      <c r="X299" s="107"/>
      <c r="Y299" s="107"/>
      <c r="Z299" s="107"/>
      <c r="AA299" s="107"/>
      <c r="AB299" s="107"/>
      <c r="AC299" s="107"/>
      <c r="AD299" s="107"/>
      <c r="AE299" s="107"/>
      <c r="AF299" s="107"/>
      <c r="AG299" s="107"/>
      <c r="AH299" s="107"/>
      <c r="AI299" s="107"/>
      <c r="AJ299" s="107"/>
      <c r="AK299" s="107"/>
      <c r="AL299" s="107"/>
      <c r="AM299" s="107"/>
    </row>
    <row r="300" spans="1:39" ht="25" customHeight="1" x14ac:dyDescent="0.35">
      <c r="A300" s="96" t="s">
        <v>194</v>
      </c>
      <c r="B300" s="96"/>
      <c r="C300" s="96"/>
      <c r="D300" s="96"/>
      <c r="E300" s="96"/>
      <c r="F300" s="96"/>
      <c r="N300" s="107"/>
      <c r="O300" s="107"/>
      <c r="P300" s="107"/>
      <c r="Q300" s="107"/>
      <c r="R300" s="107"/>
      <c r="S300" s="107"/>
      <c r="T300" s="107"/>
      <c r="U300" s="107"/>
      <c r="V300" s="107"/>
      <c r="W300" s="107"/>
      <c r="X300" s="107"/>
      <c r="Y300" s="107"/>
      <c r="Z300" s="107"/>
      <c r="AA300" s="107"/>
      <c r="AB300" s="107"/>
      <c r="AC300" s="107"/>
      <c r="AD300" s="107"/>
      <c r="AE300" s="107"/>
      <c r="AF300" s="107"/>
      <c r="AG300" s="107"/>
      <c r="AH300" s="107"/>
      <c r="AI300" s="107"/>
      <c r="AJ300" s="107"/>
      <c r="AK300" s="107"/>
      <c r="AL300" s="107"/>
      <c r="AM300" s="107"/>
    </row>
    <row r="301" spans="1:39" ht="25" customHeight="1" x14ac:dyDescent="0.35">
      <c r="A301" s="96" t="s">
        <v>195</v>
      </c>
      <c r="B301" s="96"/>
      <c r="C301" s="96"/>
      <c r="D301" s="96"/>
      <c r="E301" s="96"/>
      <c r="F301" s="96"/>
      <c r="N301" s="107"/>
      <c r="O301" s="107"/>
      <c r="P301" s="107"/>
      <c r="Q301" s="107"/>
      <c r="R301" s="107"/>
      <c r="S301" s="107"/>
      <c r="T301" s="107"/>
      <c r="U301" s="107"/>
      <c r="V301" s="107"/>
      <c r="W301" s="107"/>
      <c r="X301" s="107"/>
      <c r="Y301" s="107"/>
      <c r="Z301" s="107"/>
      <c r="AA301" s="107"/>
      <c r="AB301" s="107"/>
      <c r="AC301" s="107"/>
      <c r="AD301" s="107"/>
      <c r="AE301" s="107"/>
      <c r="AF301" s="107"/>
      <c r="AG301" s="107"/>
      <c r="AH301" s="107"/>
      <c r="AI301" s="107"/>
      <c r="AJ301" s="107"/>
      <c r="AK301" s="107"/>
      <c r="AL301" s="107"/>
      <c r="AM301" s="107"/>
    </row>
    <row r="302" spans="1:39" ht="25" customHeight="1" x14ac:dyDescent="0.35">
      <c r="A302" s="96" t="s">
        <v>231</v>
      </c>
      <c r="B302" s="96"/>
      <c r="C302" s="96"/>
      <c r="D302" s="96"/>
      <c r="E302" s="96"/>
      <c r="F302" s="96"/>
      <c r="N302" s="107"/>
      <c r="O302" s="107"/>
      <c r="P302" s="107"/>
      <c r="Q302" s="107"/>
      <c r="R302" s="107"/>
      <c r="S302" s="107"/>
      <c r="T302" s="107"/>
      <c r="U302" s="107"/>
      <c r="V302" s="107"/>
      <c r="W302" s="107"/>
      <c r="X302" s="107"/>
      <c r="Y302" s="107"/>
      <c r="Z302" s="107"/>
      <c r="AA302" s="107"/>
      <c r="AB302" s="107"/>
      <c r="AC302" s="107"/>
      <c r="AD302" s="107"/>
      <c r="AE302" s="107"/>
      <c r="AF302" s="107"/>
      <c r="AG302" s="107"/>
      <c r="AH302" s="107"/>
      <c r="AI302" s="107"/>
      <c r="AJ302" s="107"/>
      <c r="AK302" s="107"/>
      <c r="AL302" s="107"/>
      <c r="AM302" s="107"/>
    </row>
    <row r="303" spans="1:39" ht="25" customHeight="1" x14ac:dyDescent="0.35">
      <c r="A303" s="96" t="s">
        <v>198</v>
      </c>
      <c r="B303" s="96"/>
      <c r="C303" s="96"/>
      <c r="D303" s="96"/>
      <c r="E303" s="96"/>
      <c r="F303" s="96"/>
      <c r="N303" s="107"/>
      <c r="O303" s="107"/>
      <c r="P303" s="107"/>
      <c r="Q303" s="107"/>
      <c r="R303" s="107"/>
      <c r="S303" s="107"/>
      <c r="T303" s="107"/>
      <c r="U303" s="107"/>
      <c r="V303" s="107"/>
      <c r="W303" s="107"/>
      <c r="X303" s="107"/>
      <c r="Y303" s="107"/>
      <c r="Z303" s="107"/>
      <c r="AA303" s="107"/>
      <c r="AB303" s="107"/>
      <c r="AC303" s="107"/>
      <c r="AD303" s="107"/>
      <c r="AE303" s="107"/>
      <c r="AF303" s="107"/>
      <c r="AG303" s="107"/>
      <c r="AH303" s="107"/>
      <c r="AI303" s="107"/>
      <c r="AJ303" s="107"/>
      <c r="AK303" s="107"/>
      <c r="AL303" s="107"/>
      <c r="AM303" s="107"/>
    </row>
    <row r="304" spans="1:39" ht="25" customHeight="1" x14ac:dyDescent="0.35">
      <c r="A304" s="96" t="s">
        <v>193</v>
      </c>
      <c r="B304" s="96"/>
      <c r="C304" s="96"/>
      <c r="D304" s="96"/>
      <c r="E304" s="96"/>
      <c r="F304" s="96"/>
      <c r="N304" s="107"/>
      <c r="O304" s="107"/>
      <c r="P304" s="107"/>
      <c r="Q304" s="107"/>
      <c r="R304" s="107"/>
      <c r="S304" s="107"/>
      <c r="T304" s="107"/>
      <c r="U304" s="107"/>
      <c r="V304" s="107"/>
      <c r="W304" s="107"/>
      <c r="X304" s="107"/>
      <c r="Y304" s="107"/>
      <c r="Z304" s="107"/>
      <c r="AA304" s="107"/>
      <c r="AB304" s="107"/>
      <c r="AC304" s="107"/>
      <c r="AD304" s="107"/>
      <c r="AE304" s="107"/>
      <c r="AF304" s="107"/>
      <c r="AG304" s="107"/>
      <c r="AH304" s="107"/>
      <c r="AI304" s="107"/>
      <c r="AJ304" s="107"/>
      <c r="AK304" s="107"/>
      <c r="AL304" s="107"/>
      <c r="AM304" s="107"/>
    </row>
    <row r="305" spans="1:39" ht="25" customHeight="1" x14ac:dyDescent="0.35">
      <c r="A305" s="96" t="s">
        <v>194</v>
      </c>
      <c r="B305" s="96"/>
      <c r="C305" s="96"/>
      <c r="D305" s="96"/>
      <c r="E305" s="96"/>
      <c r="F305" s="96"/>
      <c r="N305" s="107"/>
      <c r="O305" s="107"/>
      <c r="P305" s="107"/>
      <c r="Q305" s="107"/>
      <c r="R305" s="107"/>
      <c r="S305" s="107"/>
      <c r="T305" s="107"/>
      <c r="U305" s="107"/>
      <c r="V305" s="107"/>
      <c r="W305" s="107"/>
      <c r="X305" s="107"/>
      <c r="Y305" s="107"/>
      <c r="Z305" s="107"/>
      <c r="AA305" s="107"/>
      <c r="AB305" s="107"/>
      <c r="AC305" s="107"/>
      <c r="AD305" s="107"/>
      <c r="AE305" s="107"/>
      <c r="AF305" s="107"/>
      <c r="AG305" s="107"/>
      <c r="AH305" s="107"/>
      <c r="AI305" s="107"/>
      <c r="AJ305" s="107"/>
      <c r="AK305" s="107"/>
      <c r="AL305" s="107"/>
      <c r="AM305" s="107"/>
    </row>
    <row r="306" spans="1:39" ht="25" customHeight="1" x14ac:dyDescent="0.35">
      <c r="A306" s="96" t="s">
        <v>195</v>
      </c>
      <c r="B306" s="96"/>
      <c r="C306" s="96"/>
      <c r="D306" s="96"/>
      <c r="E306" s="96"/>
      <c r="F306" s="96"/>
      <c r="N306" s="107"/>
      <c r="O306" s="107"/>
      <c r="P306" s="107"/>
      <c r="Q306" s="107"/>
      <c r="R306" s="107"/>
      <c r="S306" s="107"/>
      <c r="T306" s="107"/>
      <c r="U306" s="107"/>
      <c r="V306" s="107"/>
      <c r="W306" s="107"/>
      <c r="X306" s="107"/>
      <c r="Y306" s="107"/>
      <c r="Z306" s="107"/>
      <c r="AA306" s="107"/>
      <c r="AB306" s="107"/>
      <c r="AC306" s="107"/>
      <c r="AD306" s="107"/>
      <c r="AE306" s="107"/>
      <c r="AF306" s="107"/>
      <c r="AG306" s="107"/>
      <c r="AH306" s="107"/>
      <c r="AI306" s="107"/>
      <c r="AJ306" s="107"/>
      <c r="AK306" s="107"/>
      <c r="AL306" s="107"/>
      <c r="AM306" s="107"/>
    </row>
    <row r="307" spans="1:39" ht="25" customHeight="1" x14ac:dyDescent="0.35">
      <c r="A307" s="96" t="s">
        <v>99</v>
      </c>
      <c r="B307" s="96"/>
      <c r="C307" s="96"/>
      <c r="D307" s="96"/>
      <c r="E307" s="96"/>
      <c r="F307" s="96"/>
      <c r="N307" s="107"/>
      <c r="O307" s="107"/>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c r="AK307" s="107"/>
      <c r="AL307" s="107"/>
      <c r="AM307" s="107"/>
    </row>
    <row r="308" spans="1:39" ht="25" customHeight="1" x14ac:dyDescent="0.35">
      <c r="A308" s="96" t="s">
        <v>232</v>
      </c>
      <c r="B308" s="96"/>
      <c r="C308" s="96"/>
      <c r="D308" s="96"/>
      <c r="E308" s="96"/>
      <c r="F308" s="96"/>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c r="AI308" s="107"/>
      <c r="AJ308" s="107"/>
      <c r="AK308" s="107"/>
      <c r="AL308" s="107"/>
      <c r="AM308" s="107"/>
    </row>
    <row r="309" spans="1:39" ht="25" customHeight="1" x14ac:dyDescent="0.35">
      <c r="F309" s="96"/>
      <c r="N309" s="107"/>
      <c r="O309" s="107"/>
      <c r="P309" s="107"/>
      <c r="Q309" s="107"/>
      <c r="R309" s="107"/>
      <c r="S309" s="107"/>
      <c r="T309" s="107"/>
      <c r="U309" s="107"/>
      <c r="V309" s="107"/>
      <c r="W309" s="107"/>
      <c r="X309" s="107"/>
      <c r="Y309" s="107"/>
      <c r="Z309" s="107"/>
      <c r="AA309" s="107"/>
      <c r="AB309" s="107"/>
      <c r="AC309" s="107"/>
      <c r="AD309" s="107"/>
      <c r="AE309" s="107"/>
      <c r="AF309" s="107"/>
      <c r="AG309" s="107"/>
      <c r="AH309" s="107"/>
      <c r="AI309" s="107"/>
      <c r="AJ309" s="107"/>
      <c r="AK309" s="107"/>
      <c r="AL309" s="107"/>
      <c r="AM309" s="107"/>
    </row>
    <row r="310" spans="1:39" ht="25" customHeight="1" x14ac:dyDescent="0.35">
      <c r="F310" s="96"/>
      <c r="N310" s="107"/>
      <c r="O310" s="107"/>
      <c r="P310" s="107"/>
      <c r="Q310" s="107"/>
      <c r="R310" s="107"/>
      <c r="S310" s="107"/>
      <c r="T310" s="107"/>
      <c r="U310" s="107"/>
      <c r="V310" s="107"/>
      <c r="W310" s="107"/>
      <c r="X310" s="107"/>
      <c r="Y310" s="107"/>
      <c r="Z310" s="107"/>
      <c r="AA310" s="107"/>
      <c r="AB310" s="107"/>
      <c r="AC310" s="107"/>
      <c r="AD310" s="107"/>
      <c r="AE310" s="107"/>
      <c r="AF310" s="107"/>
      <c r="AG310" s="107"/>
      <c r="AH310" s="107"/>
      <c r="AI310" s="107"/>
      <c r="AJ310" s="107"/>
      <c r="AK310" s="107"/>
      <c r="AL310" s="107"/>
      <c r="AM310" s="107"/>
    </row>
    <row r="311" spans="1:39" ht="25" customHeight="1" x14ac:dyDescent="0.35">
      <c r="F311" s="96"/>
      <c r="N311" s="107"/>
      <c r="O311" s="107"/>
      <c r="P311" s="107"/>
      <c r="Q311" s="107"/>
      <c r="R311" s="107"/>
      <c r="S311" s="107"/>
      <c r="T311" s="107"/>
      <c r="U311" s="107"/>
      <c r="V311" s="107"/>
      <c r="W311" s="107"/>
      <c r="X311" s="107"/>
      <c r="Y311" s="107"/>
      <c r="Z311" s="107"/>
      <c r="AA311" s="107"/>
      <c r="AB311" s="107"/>
      <c r="AC311" s="107"/>
      <c r="AD311" s="107"/>
      <c r="AE311" s="107"/>
      <c r="AF311" s="107"/>
      <c r="AG311" s="107"/>
      <c r="AH311" s="107"/>
      <c r="AI311" s="107"/>
      <c r="AJ311" s="107"/>
      <c r="AK311" s="107"/>
      <c r="AL311" s="107"/>
      <c r="AM311" s="107"/>
    </row>
    <row r="312" spans="1:39" ht="25" customHeight="1" x14ac:dyDescent="0.35">
      <c r="A312" s="229"/>
      <c r="B312" s="229">
        <v>2020</v>
      </c>
      <c r="C312" s="229">
        <v>2021</v>
      </c>
      <c r="D312" s="229">
        <v>2022</v>
      </c>
      <c r="E312" s="229" t="s">
        <v>50</v>
      </c>
      <c r="F312" s="229" t="s">
        <v>51</v>
      </c>
      <c r="G312" s="229" t="s">
        <v>52</v>
      </c>
      <c r="H312" s="229" t="s">
        <v>53</v>
      </c>
      <c r="I312" s="229" t="s">
        <v>54</v>
      </c>
      <c r="J312" s="106"/>
      <c r="K312" s="138"/>
      <c r="L312" s="107"/>
      <c r="M312" s="107"/>
      <c r="N312" s="107"/>
      <c r="O312" s="107"/>
      <c r="P312" s="107"/>
      <c r="Q312" s="107"/>
      <c r="R312" s="107"/>
      <c r="S312" s="107"/>
      <c r="T312" s="107"/>
      <c r="U312" s="107"/>
      <c r="V312" s="107"/>
      <c r="W312" s="107"/>
      <c r="X312" s="107"/>
      <c r="Y312" s="107"/>
      <c r="Z312" s="107"/>
      <c r="AA312" s="107"/>
      <c r="AB312" s="107"/>
      <c r="AC312" s="107"/>
      <c r="AD312" s="107"/>
      <c r="AE312" s="107"/>
      <c r="AF312" s="107"/>
      <c r="AG312" s="107"/>
      <c r="AH312" s="107"/>
      <c r="AI312" s="107"/>
      <c r="AJ312" s="107"/>
      <c r="AK312" s="107"/>
    </row>
    <row r="313" spans="1:39" ht="25" customHeight="1" x14ac:dyDescent="0.35">
      <c r="A313" s="230" t="s">
        <v>233</v>
      </c>
      <c r="B313" s="231">
        <f>18.8%</f>
        <v>0.188</v>
      </c>
      <c r="C313" s="231">
        <f t="shared" ref="C313:I313" si="54">E89/E3</f>
        <v>0.1752745717414379</v>
      </c>
      <c r="D313" s="231">
        <f t="shared" si="54"/>
        <v>0.14347214058766902</v>
      </c>
      <c r="E313" s="231">
        <f t="shared" si="54"/>
        <v>0.18933875892023133</v>
      </c>
      <c r="F313" s="231">
        <f t="shared" si="54"/>
        <v>0.18746890417243972</v>
      </c>
      <c r="G313" s="231">
        <f t="shared" si="54"/>
        <v>0.18286487989485395</v>
      </c>
      <c r="H313" s="231">
        <f t="shared" si="54"/>
        <v>0.1842640412248128</v>
      </c>
      <c r="I313" s="231">
        <f t="shared" si="54"/>
        <v>0.18622885978615331</v>
      </c>
      <c r="J313" s="106"/>
      <c r="K313" s="138"/>
      <c r="L313" s="138"/>
    </row>
    <row r="314" spans="1:39" ht="25" customHeight="1" x14ac:dyDescent="0.35">
      <c r="A314" s="230" t="s">
        <v>162</v>
      </c>
      <c r="B314" s="232">
        <f>[1]CAPEX!D29</f>
        <v>-1068</v>
      </c>
      <c r="C314" s="232">
        <f>[1]CAPEX!E29</f>
        <v>-1142</v>
      </c>
      <c r="D314" s="232">
        <f>[1]CAPEX!F29</f>
        <v>-2673</v>
      </c>
      <c r="E314" s="232">
        <f>[1]CAPEX!G29</f>
        <v>-3186</v>
      </c>
      <c r="F314" s="232">
        <f>[1]CAPEX!H29</f>
        <v>-2158</v>
      </c>
      <c r="G314" s="232">
        <f>[1]CAPEX!I29</f>
        <v>-1265</v>
      </c>
      <c r="H314" s="232">
        <f>[1]CAPEX!J29</f>
        <v>-1531</v>
      </c>
      <c r="I314" s="232">
        <f>[1]CAPEX!K29</f>
        <v>-1457</v>
      </c>
      <c r="J314" s="106"/>
      <c r="K314" s="138"/>
      <c r="L314" s="138"/>
    </row>
    <row r="315" spans="1:39" ht="25" customHeight="1" x14ac:dyDescent="0.35">
      <c r="A315" s="230" t="s">
        <v>164</v>
      </c>
      <c r="B315" s="232">
        <f>[1]CAPEX!I29</f>
        <v>-1265</v>
      </c>
      <c r="C315" s="232">
        <f>[1]CAPEX!J29</f>
        <v>-1531</v>
      </c>
      <c r="D315" s="232">
        <f>[1]CAPEX!K29</f>
        <v>-1457</v>
      </c>
      <c r="E315" s="232">
        <f>[1]CAPEX!L29</f>
        <v>-1932.7551020408162</v>
      </c>
      <c r="F315" s="232">
        <f>[1]CAPEX!M29</f>
        <v>-2200.3673469387754</v>
      </c>
      <c r="G315" s="232">
        <f>[1]CAPEX!N29</f>
        <v>-2319.3061224489793</v>
      </c>
      <c r="H315" s="232">
        <f>[1]CAPEX!O29</f>
        <v>-2557.1836734693875</v>
      </c>
      <c r="I315" s="232">
        <f>[1]CAPEX!P29</f>
        <v>-2557.1836734693875</v>
      </c>
      <c r="J315" s="106"/>
      <c r="K315" s="138"/>
      <c r="L315" s="138"/>
    </row>
    <row r="316" spans="1:39" ht="25" customHeight="1" x14ac:dyDescent="0.35">
      <c r="F316" s="96"/>
    </row>
    <row r="317" spans="1:39" ht="25" customHeight="1" x14ac:dyDescent="0.35">
      <c r="F317" s="96"/>
    </row>
  </sheetData>
  <mergeCells count="26">
    <mergeCell ref="A17:K17"/>
    <mergeCell ref="B1:F1"/>
    <mergeCell ref="G1:K1"/>
    <mergeCell ref="A4:K4"/>
    <mergeCell ref="O4:O5"/>
    <mergeCell ref="A11:K11"/>
    <mergeCell ref="A84:K84"/>
    <mergeCell ref="A24:K24"/>
    <mergeCell ref="A30:K30"/>
    <mergeCell ref="A33:K33"/>
    <mergeCell ref="B49:F49"/>
    <mergeCell ref="G49:K49"/>
    <mergeCell ref="A50:K50"/>
    <mergeCell ref="A57:K57"/>
    <mergeCell ref="A61:K61"/>
    <mergeCell ref="A69:K69"/>
    <mergeCell ref="A76:K76"/>
    <mergeCell ref="A80:K80"/>
    <mergeCell ref="G168:K168"/>
    <mergeCell ref="G169:K169"/>
    <mergeCell ref="A96:K96"/>
    <mergeCell ref="A99:K99"/>
    <mergeCell ref="G163:K163"/>
    <mergeCell ref="G164:K164"/>
    <mergeCell ref="G165:K165"/>
    <mergeCell ref="G167:K167"/>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D7EBE-B45F-4924-8EE0-80AF086C9D6A}">
  <dimension ref="A1"/>
  <sheetViews>
    <sheetView workbookViewId="0">
      <selection activeCell="H17" sqref="H17"/>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AFE97-BC4E-4480-95D9-7CAE91A7CDB2}">
  <dimension ref="A2:N15"/>
  <sheetViews>
    <sheetView workbookViewId="0">
      <selection activeCell="D4" sqref="D4"/>
    </sheetView>
  </sheetViews>
  <sheetFormatPr defaultColWidth="9" defaultRowHeight="14" x14ac:dyDescent="0.3"/>
  <cols>
    <col min="1" max="1" width="9" style="1"/>
    <col min="2" max="2" width="17.1796875" style="1" customWidth="1"/>
    <col min="3" max="6" width="17" style="1" customWidth="1"/>
    <col min="7" max="16384" width="9" style="1"/>
  </cols>
  <sheetData>
    <row r="2" spans="1:14" ht="47.25" customHeight="1" x14ac:dyDescent="0.3">
      <c r="B2" s="7" t="s">
        <v>21</v>
      </c>
      <c r="C2" s="272">
        <f>'USDPHP Forecasting'!I3</f>
        <v>57.149444444444399</v>
      </c>
      <c r="D2" s="7" t="s">
        <v>569</v>
      </c>
      <c r="I2" s="1">
        <v>1</v>
      </c>
      <c r="J2" s="273">
        <f>C2</f>
        <v>57.149444444444399</v>
      </c>
    </row>
    <row r="3" spans="1:14" x14ac:dyDescent="0.3">
      <c r="D3" s="25"/>
    </row>
    <row r="4" spans="1:14" ht="33.75" customHeight="1" x14ac:dyDescent="0.3">
      <c r="A4" s="2"/>
      <c r="B4" s="2" t="s">
        <v>1</v>
      </c>
      <c r="C4" s="3" t="s">
        <v>2</v>
      </c>
      <c r="D4" s="4" t="s">
        <v>3</v>
      </c>
      <c r="E4" s="5" t="s">
        <v>4</v>
      </c>
      <c r="F4" s="6" t="s">
        <v>5</v>
      </c>
    </row>
    <row r="5" spans="1:14" ht="21" customHeight="1" x14ac:dyDescent="0.3">
      <c r="A5" s="2" t="s">
        <v>6</v>
      </c>
      <c r="B5" s="7" t="s">
        <v>7</v>
      </c>
      <c r="C5" s="11">
        <v>402000</v>
      </c>
      <c r="D5" s="11">
        <v>3718000</v>
      </c>
      <c r="E5" s="11">
        <v>1619000</v>
      </c>
      <c r="F5" s="11">
        <v>1133000</v>
      </c>
    </row>
    <row r="6" spans="1:14" ht="21" customHeight="1" x14ac:dyDescent="0.3">
      <c r="A6" s="2" t="s">
        <v>6</v>
      </c>
      <c r="B6" s="7" t="s">
        <v>8</v>
      </c>
      <c r="C6" s="46">
        <f>Requirement!C6*'PHP Requirement'!$C$2</f>
        <v>640.0737777777772</v>
      </c>
      <c r="D6" s="46">
        <f>Requirement!D6*'PHP Requirement'!$C$2</f>
        <v>268.6023888888887</v>
      </c>
      <c r="E6" s="46">
        <f>Requirement!E6*'PHP Requirement'!$C$2</f>
        <v>280.03227777777755</v>
      </c>
      <c r="F6" s="46">
        <f>Requirement!F6*'PHP Requirement'!$C$2</f>
        <v>302.89205555555532</v>
      </c>
    </row>
    <row r="7" spans="1:14" ht="75.75" customHeight="1" x14ac:dyDescent="0.3">
      <c r="A7" s="2" t="s">
        <v>6</v>
      </c>
      <c r="B7" s="8" t="s">
        <v>9</v>
      </c>
      <c r="C7" s="9">
        <v>0.25</v>
      </c>
      <c r="D7" s="9">
        <f>C7</f>
        <v>0.25</v>
      </c>
      <c r="E7" s="9">
        <f>D7</f>
        <v>0.25</v>
      </c>
      <c r="F7" s="9">
        <f>E7</f>
        <v>0.25</v>
      </c>
    </row>
    <row r="8" spans="1:14" ht="18.75" customHeight="1" x14ac:dyDescent="0.3">
      <c r="A8" s="2" t="s">
        <v>6</v>
      </c>
      <c r="B8" s="7" t="s">
        <v>10</v>
      </c>
      <c r="C8" s="46">
        <f>Requirement!C8*'PHP Requirement'!$C$2</f>
        <v>6.2864388888888838</v>
      </c>
      <c r="D8" s="46">
        <f>Requirement!D8*'PHP Requirement'!$C$2</f>
        <v>2.8574722222222202</v>
      </c>
      <c r="E8" s="46">
        <f>Requirement!E8*'PHP Requirement'!$C$2</f>
        <v>4.0004611111111084</v>
      </c>
      <c r="F8" s="46">
        <f>Requirement!F8*'PHP Requirement'!$C$2</f>
        <v>5.7149444444444404</v>
      </c>
      <c r="N8" s="1" t="s">
        <v>11</v>
      </c>
    </row>
    <row r="9" spans="1:14" ht="18.75" customHeight="1" x14ac:dyDescent="0.3">
      <c r="A9" s="2" t="s">
        <v>6</v>
      </c>
      <c r="B9" s="7" t="s">
        <v>12</v>
      </c>
      <c r="C9" s="46">
        <f>Requirement!C9*'PHP Requirement'!$C$2</f>
        <v>57.149444444444399</v>
      </c>
      <c r="D9" s="46">
        <f>Requirement!D9*'PHP Requirement'!$C$2</f>
        <v>85.724166666666605</v>
      </c>
      <c r="E9" s="46">
        <f>Requirement!E9*'PHP Requirement'!$C$2</f>
        <v>68.579333333333281</v>
      </c>
      <c r="F9" s="46">
        <f>Requirement!F9*'PHP Requirement'!$C$2</f>
        <v>57.149444444444399</v>
      </c>
    </row>
    <row r="10" spans="1:14" ht="18.75" customHeight="1" x14ac:dyDescent="0.3">
      <c r="A10" s="2" t="s">
        <v>6</v>
      </c>
      <c r="B10" s="7" t="s">
        <v>13</v>
      </c>
      <c r="C10" s="46">
        <f>Requirement!C10*'PHP Requirement'!$C$2</f>
        <v>261.74445555555536</v>
      </c>
      <c r="D10" s="46">
        <f>Requirement!D10*'PHP Requirement'!$C$2</f>
        <v>134.30119444444435</v>
      </c>
      <c r="E10" s="46">
        <f>Requirement!E10*'PHP Requirement'!$C$2</f>
        <v>144.0165999999999</v>
      </c>
      <c r="F10" s="46">
        <f>Requirement!F10*'PHP Requirement'!$C$2</f>
        <v>141.73062222222211</v>
      </c>
    </row>
    <row r="11" spans="1:14" ht="33" customHeight="1" x14ac:dyDescent="0.3">
      <c r="A11" s="2" t="s">
        <v>14</v>
      </c>
      <c r="B11" s="8" t="s">
        <v>15</v>
      </c>
      <c r="C11" s="9">
        <v>0.7</v>
      </c>
      <c r="D11" s="9">
        <v>0.65</v>
      </c>
      <c r="E11" s="9">
        <v>0.65</v>
      </c>
      <c r="F11" s="9">
        <v>0.65</v>
      </c>
    </row>
    <row r="12" spans="1:14" x14ac:dyDescent="0.3">
      <c r="A12" s="2" t="str">
        <f>A11</f>
        <v>% COGS</v>
      </c>
      <c r="B12" s="7" t="s">
        <v>16</v>
      </c>
      <c r="C12" s="9">
        <v>0.3</v>
      </c>
      <c r="D12" s="9">
        <v>0.35</v>
      </c>
      <c r="E12" s="9">
        <f>D12</f>
        <v>0.35</v>
      </c>
      <c r="F12" s="9">
        <f>E12</f>
        <v>0.35</v>
      </c>
    </row>
    <row r="13" spans="1:14" ht="36" customHeight="1" x14ac:dyDescent="0.3">
      <c r="A13" s="2" t="s">
        <v>6</v>
      </c>
      <c r="B13" s="8" t="s">
        <v>17</v>
      </c>
      <c r="C13" s="369" t="s">
        <v>18</v>
      </c>
      <c r="D13" s="369"/>
      <c r="E13" s="369"/>
      <c r="F13" s="369"/>
    </row>
    <row r="14" spans="1:14" ht="42" customHeight="1" x14ac:dyDescent="0.3">
      <c r="A14" s="2" t="s">
        <v>6</v>
      </c>
      <c r="B14" s="8" t="s">
        <v>19</v>
      </c>
      <c r="C14" s="9">
        <v>0.1</v>
      </c>
      <c r="D14" s="9">
        <f>C14</f>
        <v>0.1</v>
      </c>
      <c r="E14" s="9">
        <f t="shared" ref="E14:F14" si="0">D14</f>
        <v>0.1</v>
      </c>
      <c r="F14" s="9">
        <f t="shared" si="0"/>
        <v>0.1</v>
      </c>
      <c r="G14" s="10"/>
    </row>
    <row r="15" spans="1:14" ht="42" x14ac:dyDescent="0.3">
      <c r="A15" s="2" t="s">
        <v>6</v>
      </c>
      <c r="B15" s="8" t="s">
        <v>20</v>
      </c>
      <c r="C15" s="9">
        <f>C14</f>
        <v>0.1</v>
      </c>
      <c r="D15" s="9">
        <f t="shared" ref="D15:F15" si="1">D14</f>
        <v>0.1</v>
      </c>
      <c r="E15" s="9">
        <f t="shared" si="1"/>
        <v>0.1</v>
      </c>
      <c r="F15" s="9">
        <f t="shared" si="1"/>
        <v>0.1</v>
      </c>
    </row>
  </sheetData>
  <mergeCells count="1">
    <mergeCell ref="C13:F13"/>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77E9-91AD-4501-A4D6-4DE4AB273277}">
  <dimension ref="A1:Y154"/>
  <sheetViews>
    <sheetView workbookViewId="0">
      <selection activeCell="G70" sqref="G70"/>
    </sheetView>
  </sheetViews>
  <sheetFormatPr defaultColWidth="9.1796875" defaultRowHeight="14" x14ac:dyDescent="0.3"/>
  <cols>
    <col min="1" max="1" width="8.1796875" style="66" bestFit="1" customWidth="1"/>
    <col min="2" max="2" width="18.1796875" style="66" customWidth="1"/>
    <col min="3" max="3" width="19.81640625" style="66" customWidth="1"/>
    <col min="4" max="4" width="25.453125" style="66" customWidth="1"/>
    <col min="5" max="5" width="22.453125" style="66" customWidth="1"/>
    <col min="6" max="6" width="19.7265625" style="66" customWidth="1"/>
    <col min="7" max="7" width="22.81640625" style="66" customWidth="1"/>
    <col min="8" max="8" width="19" style="67" customWidth="1"/>
    <col min="9" max="9" width="24.81640625" style="66" customWidth="1"/>
    <col min="10" max="10" width="21.1796875" style="66" bestFit="1" customWidth="1"/>
    <col min="11" max="11" width="16.7265625" style="66" customWidth="1"/>
    <col min="12" max="14" width="9.1796875" style="1"/>
    <col min="15" max="15" width="17" style="1" customWidth="1"/>
    <col min="16" max="16" width="26.81640625" style="1" customWidth="1"/>
    <col min="17" max="17" width="15.81640625" style="1" customWidth="1"/>
    <col min="18" max="18" width="12.7265625" style="1" bestFit="1" customWidth="1"/>
    <col min="19" max="19" width="13.81640625" style="1" customWidth="1"/>
    <col min="20" max="16384" width="9.1796875" style="1"/>
  </cols>
  <sheetData>
    <row r="1" spans="1:25" ht="62.25" customHeight="1" x14ac:dyDescent="0.35">
      <c r="A1" s="47" t="s">
        <v>424</v>
      </c>
      <c r="B1" s="48" t="s">
        <v>425</v>
      </c>
      <c r="C1" s="47" t="s">
        <v>426</v>
      </c>
      <c r="D1" s="47" t="s">
        <v>427</v>
      </c>
      <c r="E1" s="432" t="s">
        <v>428</v>
      </c>
      <c r="F1" s="432" t="s">
        <v>429</v>
      </c>
      <c r="G1" s="432" t="s">
        <v>430</v>
      </c>
      <c r="H1" s="432" t="s">
        <v>431</v>
      </c>
      <c r="I1" s="432" t="s">
        <v>432</v>
      </c>
      <c r="J1" s="432" t="s">
        <v>433</v>
      </c>
      <c r="K1" s="432" t="s">
        <v>434</v>
      </c>
      <c r="Q1" s="433" t="s">
        <v>354</v>
      </c>
      <c r="R1" s="433"/>
      <c r="S1" s="49"/>
      <c r="T1" s="50"/>
      <c r="U1" s="50"/>
      <c r="V1" s="50"/>
      <c r="W1" s="51"/>
      <c r="X1" s="51"/>
      <c r="Y1" s="51"/>
    </row>
    <row r="2" spans="1:25" ht="37.5" customHeight="1" x14ac:dyDescent="0.35">
      <c r="A2" s="47" t="s">
        <v>435</v>
      </c>
      <c r="B2" s="48" t="s">
        <v>436</v>
      </c>
      <c r="C2" s="47" t="s">
        <v>437</v>
      </c>
      <c r="D2" s="47" t="s">
        <v>438</v>
      </c>
      <c r="E2" s="432"/>
      <c r="F2" s="432"/>
      <c r="G2" s="432"/>
      <c r="H2" s="432"/>
      <c r="I2" s="432"/>
      <c r="J2" s="432"/>
      <c r="K2" s="432"/>
      <c r="Q2" s="433"/>
      <c r="R2" s="433"/>
      <c r="S2" s="49"/>
      <c r="T2" s="50"/>
      <c r="U2" s="50"/>
      <c r="V2" s="50"/>
      <c r="W2" s="51"/>
      <c r="X2" s="51"/>
      <c r="Y2" s="51"/>
    </row>
    <row r="3" spans="1:25" ht="14.5" x14ac:dyDescent="0.35">
      <c r="A3" s="2" t="s">
        <v>439</v>
      </c>
      <c r="B3" s="11">
        <v>21392.799999999999</v>
      </c>
      <c r="C3" s="52">
        <v>3.8203242424242441</v>
      </c>
      <c r="D3" s="53">
        <v>6.5</v>
      </c>
      <c r="E3" s="54"/>
      <c r="F3" s="54"/>
      <c r="G3" s="54"/>
      <c r="H3" s="2"/>
      <c r="I3" s="54"/>
      <c r="J3" s="54"/>
      <c r="K3" s="54"/>
      <c r="Q3" s="55" t="s">
        <v>355</v>
      </c>
      <c r="R3" s="55"/>
      <c r="S3" s="56"/>
      <c r="T3" s="40"/>
      <c r="U3" s="40"/>
      <c r="V3" s="40"/>
      <c r="W3"/>
      <c r="X3"/>
      <c r="Y3"/>
    </row>
    <row r="4" spans="1:25" ht="14.5" x14ac:dyDescent="0.35">
      <c r="A4" s="2" t="s">
        <v>440</v>
      </c>
      <c r="B4" s="11">
        <v>21843.8</v>
      </c>
      <c r="C4" s="52">
        <v>4.0647962330067644</v>
      </c>
      <c r="D4" s="53">
        <v>6.7</v>
      </c>
      <c r="E4" s="54">
        <f>((1+D3%)/(1+C3%))-1</f>
        <v>2.5810704957139219E-2</v>
      </c>
      <c r="F4" s="54">
        <f>(B4-B3)/B3</f>
        <v>2.1081859317153437E-2</v>
      </c>
      <c r="G4" s="54">
        <v>3.7901033007148401E-3</v>
      </c>
      <c r="H4" s="42">
        <f>B3*(1+G4)</f>
        <v>21473.88092189153</v>
      </c>
      <c r="I4" s="57">
        <f>ABS((H4-B4)/B4)</f>
        <v>1.6934740205846465E-2</v>
      </c>
      <c r="J4" s="57">
        <f t="shared" ref="J4:J67" si="0">I4^2</f>
        <v>2.8678542583951275E-4</v>
      </c>
      <c r="K4" s="57">
        <f>(H4-B4)/B4</f>
        <v>-1.6934740205846465E-2</v>
      </c>
      <c r="Q4" s="58" t="s">
        <v>356</v>
      </c>
      <c r="R4" s="58">
        <v>0.18471915887313722</v>
      </c>
      <c r="S4" s="56"/>
      <c r="T4" s="40"/>
      <c r="U4" s="40"/>
      <c r="V4" s="40"/>
      <c r="W4"/>
      <c r="X4"/>
      <c r="Y4"/>
    </row>
    <row r="5" spans="1:25" ht="14.5" x14ac:dyDescent="0.35">
      <c r="A5" s="2" t="s">
        <v>441</v>
      </c>
      <c r="B5" s="11">
        <v>22949.4</v>
      </c>
      <c r="C5" s="52">
        <v>4.5004968379446639</v>
      </c>
      <c r="D5" s="53">
        <v>6.85</v>
      </c>
      <c r="E5" s="54">
        <f t="shared" ref="E5:E68" si="1">((1+D4%)/(1+C4%))-1</f>
        <v>2.5322720673885302E-2</v>
      </c>
      <c r="F5" s="54">
        <f t="shared" ref="F5:F68" si="2">(B5-B4)/B4</f>
        <v>5.0613904174182246E-2</v>
      </c>
      <c r="G5" s="54">
        <v>3.3588697416723347E-3</v>
      </c>
      <c r="H5" s="42">
        <f t="shared" ref="H5:H68" si="3">B4*(1+G5)</f>
        <v>21917.170478863143</v>
      </c>
      <c r="I5" s="57">
        <f t="shared" ref="I5:I68" si="4">ABS((H5-B5)/B5)</f>
        <v>4.497849709085458E-2</v>
      </c>
      <c r="J5" s="57">
        <f t="shared" si="0"/>
        <v>2.0230652005520139E-3</v>
      </c>
      <c r="K5" s="57">
        <f t="shared" ref="K5:K68" si="5">(H5-B5)/B5</f>
        <v>-4.497849709085458E-2</v>
      </c>
      <c r="Q5" s="58" t="s">
        <v>357</v>
      </c>
      <c r="R5" s="58">
        <v>3.4121167654799313E-2</v>
      </c>
      <c r="S5" s="56"/>
      <c r="T5" s="40"/>
      <c r="U5" s="40"/>
      <c r="V5" s="40"/>
      <c r="W5"/>
      <c r="X5"/>
      <c r="Y5"/>
    </row>
    <row r="6" spans="1:25" ht="14.5" x14ac:dyDescent="0.35">
      <c r="A6" s="2" t="s">
        <v>442</v>
      </c>
      <c r="B6" s="11">
        <v>23380</v>
      </c>
      <c r="C6" s="52">
        <v>4.724768393315304</v>
      </c>
      <c r="D6" s="53">
        <v>6.95</v>
      </c>
      <c r="E6" s="54">
        <f t="shared" si="1"/>
        <v>2.248317695272628E-2</v>
      </c>
      <c r="F6" s="54">
        <f t="shared" si="2"/>
        <v>1.8763017769527678E-2</v>
      </c>
      <c r="G6" s="54">
        <v>3.1201834077635242E-3</v>
      </c>
      <c r="H6" s="42">
        <f t="shared" si="3"/>
        <v>23021.006337098126</v>
      </c>
      <c r="I6" s="57">
        <f t="shared" si="4"/>
        <v>1.5354733229335924E-2</v>
      </c>
      <c r="J6" s="57">
        <f t="shared" si="0"/>
        <v>2.3576783254407281E-4</v>
      </c>
      <c r="K6" s="57">
        <f t="shared" si="5"/>
        <v>-1.5354733229335924E-2</v>
      </c>
      <c r="Q6" s="58" t="s">
        <v>358</v>
      </c>
      <c r="R6" s="58">
        <v>1.9029310899405551E-2</v>
      </c>
      <c r="S6" s="56"/>
      <c r="T6" s="40"/>
      <c r="U6" s="40"/>
      <c r="V6" s="40"/>
      <c r="W6"/>
      <c r="X6"/>
      <c r="Y6"/>
    </row>
    <row r="7" spans="1:25" ht="14.5" x14ac:dyDescent="0.35">
      <c r="A7" s="2" t="s">
        <v>443</v>
      </c>
      <c r="B7" s="11">
        <v>25412.7</v>
      </c>
      <c r="C7" s="52">
        <v>4.4800030378977738</v>
      </c>
      <c r="D7" s="53">
        <v>7.5</v>
      </c>
      <c r="E7" s="54">
        <f t="shared" si="1"/>
        <v>2.1248379354990687E-2</v>
      </c>
      <c r="F7" s="54">
        <f t="shared" si="2"/>
        <v>8.694183062446538E-2</v>
      </c>
      <c r="G7" s="54">
        <v>2.0823114884801069E-3</v>
      </c>
      <c r="H7" s="42">
        <f t="shared" si="3"/>
        <v>23428.684442600665</v>
      </c>
      <c r="I7" s="57">
        <f t="shared" si="4"/>
        <v>7.8071812810104238E-2</v>
      </c>
      <c r="J7" s="57">
        <f t="shared" si="0"/>
        <v>6.0952079554559566E-3</v>
      </c>
      <c r="K7" s="57">
        <f t="shared" si="5"/>
        <v>-7.8071812810104238E-2</v>
      </c>
      <c r="Q7" s="58" t="s">
        <v>359</v>
      </c>
      <c r="R7" s="58">
        <v>4.7682716708185614E-2</v>
      </c>
      <c r="S7" s="56"/>
      <c r="T7" s="40"/>
      <c r="U7" s="40"/>
      <c r="V7" s="40"/>
      <c r="W7"/>
      <c r="X7"/>
      <c r="Y7"/>
    </row>
    <row r="8" spans="1:25" ht="14.5" x14ac:dyDescent="0.35">
      <c r="A8" s="2" t="s">
        <v>444</v>
      </c>
      <c r="B8" s="11">
        <v>26534.6</v>
      </c>
      <c r="C8" s="52">
        <v>4.8604682539682535</v>
      </c>
      <c r="D8" s="53">
        <v>15</v>
      </c>
      <c r="E8" s="54">
        <f t="shared" si="1"/>
        <v>2.8905023681965014E-2</v>
      </c>
      <c r="F8" s="54">
        <f t="shared" si="2"/>
        <v>4.4147217729717733E-2</v>
      </c>
      <c r="G8" s="54">
        <v>-1.0852330239627048E-4</v>
      </c>
      <c r="H8" s="42">
        <f t="shared" si="3"/>
        <v>25409.942129873194</v>
      </c>
      <c r="I8" s="57">
        <f t="shared" si="4"/>
        <v>4.2384579761021633E-2</v>
      </c>
      <c r="J8" s="57">
        <f t="shared" si="0"/>
        <v>1.7964526015184046E-3</v>
      </c>
      <c r="K8" s="57">
        <f t="shared" si="5"/>
        <v>-4.2384579761021633E-2</v>
      </c>
      <c r="Q8" s="58" t="s">
        <v>360</v>
      </c>
      <c r="R8" s="58">
        <v>66</v>
      </c>
      <c r="S8" s="56"/>
      <c r="T8" s="40"/>
      <c r="U8" s="40"/>
      <c r="V8" s="40"/>
      <c r="W8"/>
      <c r="X8"/>
      <c r="Y8"/>
    </row>
    <row r="9" spans="1:25" ht="14.5" x14ac:dyDescent="0.35">
      <c r="A9" s="2" t="s">
        <v>445</v>
      </c>
      <c r="B9" s="11">
        <v>23429.200000000001</v>
      </c>
      <c r="C9" s="52">
        <v>4.9817907647907669</v>
      </c>
      <c r="D9" s="53">
        <v>15</v>
      </c>
      <c r="E9" s="54">
        <f t="shared" si="1"/>
        <v>9.6695465077212495E-2</v>
      </c>
      <c r="F9" s="54">
        <f t="shared" si="2"/>
        <v>-0.11703210148259247</v>
      </c>
      <c r="G9" s="54">
        <v>-2.5479540962644815E-3</v>
      </c>
      <c r="H9" s="42">
        <f t="shared" si="3"/>
        <v>26466.991057237257</v>
      </c>
      <c r="I9" s="57">
        <f t="shared" si="4"/>
        <v>0.12965833478041319</v>
      </c>
      <c r="J9" s="57">
        <f t="shared" si="0"/>
        <v>1.6811283778029706E-2</v>
      </c>
      <c r="K9" s="57">
        <f t="shared" si="5"/>
        <v>0.12965833478041319</v>
      </c>
      <c r="Q9" s="40"/>
      <c r="R9" s="40"/>
      <c r="S9" s="56"/>
      <c r="T9" s="40"/>
      <c r="U9" s="40"/>
      <c r="V9" s="40"/>
      <c r="W9"/>
      <c r="X9"/>
      <c r="Y9"/>
    </row>
    <row r="10" spans="1:25" ht="14.5" x14ac:dyDescent="0.35">
      <c r="A10" s="2" t="s">
        <v>446</v>
      </c>
      <c r="B10" s="11">
        <v>24441.200000000001</v>
      </c>
      <c r="C10" s="52">
        <v>4.2146686680469303</v>
      </c>
      <c r="D10" s="53">
        <v>9.5</v>
      </c>
      <c r="E10" s="54">
        <f t="shared" si="1"/>
        <v>9.5428065783853766E-2</v>
      </c>
      <c r="F10" s="54">
        <f t="shared" si="2"/>
        <v>4.3193963088795174E-2</v>
      </c>
      <c r="G10" s="54">
        <v>-3.1311898087635669E-3</v>
      </c>
      <c r="H10" s="42">
        <f t="shared" si="3"/>
        <v>23355.838727732516</v>
      </c>
      <c r="I10" s="57">
        <f t="shared" si="4"/>
        <v>4.4407036981305513E-2</v>
      </c>
      <c r="J10" s="57">
        <f t="shared" si="0"/>
        <v>1.9719849334590353E-3</v>
      </c>
      <c r="K10" s="57">
        <f t="shared" si="5"/>
        <v>-4.4407036981305513E-2</v>
      </c>
      <c r="Q10" s="58" t="s">
        <v>361</v>
      </c>
      <c r="R10" s="55" t="s">
        <v>362</v>
      </c>
      <c r="S10" s="59" t="s">
        <v>288</v>
      </c>
      <c r="T10" s="60"/>
      <c r="U10" s="60"/>
      <c r="V10" s="60"/>
      <c r="W10"/>
      <c r="X10"/>
      <c r="Y10"/>
    </row>
    <row r="11" spans="1:25" ht="14.5" x14ac:dyDescent="0.35">
      <c r="A11" s="2" t="s">
        <v>447</v>
      </c>
      <c r="B11" s="11">
        <v>23564.7</v>
      </c>
      <c r="C11" s="52">
        <v>2.01167611832612</v>
      </c>
      <c r="D11" s="53">
        <v>8</v>
      </c>
      <c r="E11" s="54">
        <f t="shared" si="1"/>
        <v>5.0715809967101011E-2</v>
      </c>
      <c r="F11" s="54">
        <f t="shared" si="2"/>
        <v>-3.5861577991260656E-2</v>
      </c>
      <c r="G11" s="54">
        <v>-2.695707439841555E-3</v>
      </c>
      <c r="H11" s="42">
        <f t="shared" si="3"/>
        <v>24375.313675321344</v>
      </c>
      <c r="I11" s="57">
        <f t="shared" si="4"/>
        <v>3.4399490565181955E-2</v>
      </c>
      <c r="J11" s="57">
        <f t="shared" si="0"/>
        <v>1.1833249511440424E-3</v>
      </c>
      <c r="K11" s="57">
        <f t="shared" si="5"/>
        <v>3.4399490565181955E-2</v>
      </c>
      <c r="Q11" s="58" t="s">
        <v>366</v>
      </c>
      <c r="R11" s="58">
        <v>1</v>
      </c>
      <c r="S11" s="61">
        <v>5.1404743056719382E-3</v>
      </c>
      <c r="T11" s="40"/>
      <c r="U11" s="40"/>
      <c r="V11" s="40"/>
      <c r="W11"/>
      <c r="X11"/>
      <c r="Y11"/>
    </row>
    <row r="12" spans="1:25" ht="14.5" x14ac:dyDescent="0.35">
      <c r="A12" s="2" t="s">
        <v>448</v>
      </c>
      <c r="B12" s="11">
        <v>24946.2</v>
      </c>
      <c r="C12" s="52">
        <v>1.3106363636363632</v>
      </c>
      <c r="D12" s="53">
        <v>7</v>
      </c>
      <c r="E12" s="54">
        <f t="shared" si="1"/>
        <v>5.8702337904220636E-2</v>
      </c>
      <c r="F12" s="54">
        <f t="shared" si="2"/>
        <v>5.8625825917580109E-2</v>
      </c>
      <c r="G12" s="54">
        <v>1.6606746391149754E-3</v>
      </c>
      <c r="H12" s="42">
        <f t="shared" si="3"/>
        <v>23603.833299668353</v>
      </c>
      <c r="I12" s="57">
        <f t="shared" si="4"/>
        <v>5.3810468140704705E-2</v>
      </c>
      <c r="J12" s="57">
        <f t="shared" si="0"/>
        <v>2.895566481521796E-3</v>
      </c>
      <c r="K12" s="57">
        <f t="shared" si="5"/>
        <v>-5.3810468140704705E-2</v>
      </c>
      <c r="Q12" s="58" t="s">
        <v>367</v>
      </c>
      <c r="R12" s="58">
        <v>64</v>
      </c>
      <c r="S12" s="61">
        <v>0.14551305425107733</v>
      </c>
      <c r="T12" s="40"/>
      <c r="U12" s="40"/>
      <c r="V12" s="40"/>
      <c r="W12"/>
      <c r="X12"/>
      <c r="Y12"/>
    </row>
    <row r="13" spans="1:25" ht="14.5" x14ac:dyDescent="0.35">
      <c r="A13" s="2" t="s">
        <v>449</v>
      </c>
      <c r="B13" s="11">
        <v>26113.1</v>
      </c>
      <c r="C13" s="52">
        <v>0.86917454043541031</v>
      </c>
      <c r="D13" s="53">
        <v>7</v>
      </c>
      <c r="E13" s="54">
        <f t="shared" si="1"/>
        <v>5.6157614250321286E-2</v>
      </c>
      <c r="F13" s="54">
        <f t="shared" si="2"/>
        <v>4.6776663379592798E-2</v>
      </c>
      <c r="G13" s="54">
        <v>4.310294348769908E-3</v>
      </c>
      <c r="H13" s="42">
        <f t="shared" si="3"/>
        <v>25053.725464883282</v>
      </c>
      <c r="I13" s="57">
        <f t="shared" si="4"/>
        <v>4.0568700580042825E-2</v>
      </c>
      <c r="J13" s="57">
        <f t="shared" si="0"/>
        <v>1.6458194667531671E-3</v>
      </c>
      <c r="K13" s="57">
        <f t="shared" si="5"/>
        <v>-4.0568700580042825E-2</v>
      </c>
      <c r="Q13" s="58" t="s">
        <v>99</v>
      </c>
      <c r="R13" s="58">
        <v>65</v>
      </c>
      <c r="S13" s="61">
        <v>0.15065352855674927</v>
      </c>
      <c r="T13" s="40"/>
      <c r="U13" s="40"/>
      <c r="V13" s="40"/>
      <c r="W13"/>
      <c r="X13"/>
      <c r="Y13"/>
    </row>
    <row r="14" spans="1:25" ht="14.5" x14ac:dyDescent="0.35">
      <c r="A14" s="2" t="s">
        <v>450</v>
      </c>
      <c r="B14" s="11">
        <v>26452.9</v>
      </c>
      <c r="C14" s="52">
        <v>0.72191197691197662</v>
      </c>
      <c r="D14" s="53">
        <v>8</v>
      </c>
      <c r="E14" s="54">
        <f t="shared" si="1"/>
        <v>6.0779970565803865E-2</v>
      </c>
      <c r="F14" s="54">
        <f t="shared" si="2"/>
        <v>1.3012625846797314E-2</v>
      </c>
      <c r="G14" s="54">
        <v>4.589119236825449E-3</v>
      </c>
      <c r="H14" s="42">
        <f t="shared" si="3"/>
        <v>26232.936129543144</v>
      </c>
      <c r="I14" s="57">
        <f t="shared" si="4"/>
        <v>8.3153026872991986E-3</v>
      </c>
      <c r="J14" s="57">
        <f t="shared" si="0"/>
        <v>6.9144258781405268E-5</v>
      </c>
      <c r="K14" s="57">
        <f t="shared" si="5"/>
        <v>-8.3153026872991986E-3</v>
      </c>
      <c r="T14" s="40"/>
      <c r="U14" s="40"/>
      <c r="V14" s="40"/>
      <c r="W14"/>
      <c r="X14"/>
      <c r="Y14"/>
    </row>
    <row r="15" spans="1:25" ht="14.5" x14ac:dyDescent="0.35">
      <c r="A15" s="2" t="s">
        <v>451</v>
      </c>
      <c r="B15" s="11">
        <v>25793.5</v>
      </c>
      <c r="C15" s="52">
        <v>0.66213550724637671</v>
      </c>
      <c r="D15" s="53">
        <v>8</v>
      </c>
      <c r="E15" s="54">
        <f t="shared" si="1"/>
        <v>7.2259232179352928E-2</v>
      </c>
      <c r="F15" s="54">
        <f t="shared" si="2"/>
        <v>-2.4927323658275706E-2</v>
      </c>
      <c r="G15" s="54">
        <v>3.499935831341863E-3</v>
      </c>
      <c r="H15" s="42">
        <f t="shared" si="3"/>
        <v>26545.483452552904</v>
      </c>
      <c r="I15" s="57">
        <f t="shared" si="4"/>
        <v>2.9153990445379807E-2</v>
      </c>
      <c r="J15" s="57">
        <f t="shared" si="0"/>
        <v>8.4995515888929712E-4</v>
      </c>
      <c r="K15" s="57">
        <f t="shared" si="5"/>
        <v>2.9153990445379807E-2</v>
      </c>
      <c r="Q15" s="55"/>
      <c r="R15" s="55" t="s">
        <v>368</v>
      </c>
      <c r="S15" s="59" t="s">
        <v>359</v>
      </c>
      <c r="T15" s="55" t="s">
        <v>369</v>
      </c>
      <c r="U15" s="55" t="s">
        <v>370</v>
      </c>
      <c r="V15" s="55" t="s">
        <v>371</v>
      </c>
      <c r="W15" s="55" t="s">
        <v>372</v>
      </c>
      <c r="X15" s="55" t="s">
        <v>373</v>
      </c>
      <c r="Y15" s="55" t="s">
        <v>374</v>
      </c>
    </row>
    <row r="16" spans="1:25" ht="14.5" x14ac:dyDescent="0.35">
      <c r="A16" s="2" t="s">
        <v>452</v>
      </c>
      <c r="B16" s="11">
        <v>23347.200000000001</v>
      </c>
      <c r="C16" s="52">
        <v>0.68627157287157292</v>
      </c>
      <c r="D16" s="53">
        <v>8</v>
      </c>
      <c r="E16" s="54">
        <f t="shared" si="1"/>
        <v>7.28959747950646E-2</v>
      </c>
      <c r="F16" s="54">
        <f t="shared" si="2"/>
        <v>-9.4841723690076929E-2</v>
      </c>
      <c r="G16" s="54">
        <v>2.6896216171458293E-3</v>
      </c>
      <c r="H16" s="42">
        <f t="shared" si="3"/>
        <v>25862.874755181852</v>
      </c>
      <c r="I16" s="57">
        <f t="shared" si="4"/>
        <v>0.10775059772400337</v>
      </c>
      <c r="J16" s="57">
        <f t="shared" si="0"/>
        <v>1.1610191309880001E-2</v>
      </c>
      <c r="K16" s="57">
        <f t="shared" si="5"/>
        <v>0.10775059772400337</v>
      </c>
      <c r="Q16" s="58" t="s">
        <v>375</v>
      </c>
      <c r="R16" s="58">
        <v>2.7171973802694916E-2</v>
      </c>
      <c r="S16" s="61">
        <v>1.6552895774839704E-2</v>
      </c>
      <c r="T16" s="58">
        <v>1.641523886352027</v>
      </c>
      <c r="U16" s="58">
        <v>0.10559427679526127</v>
      </c>
      <c r="V16" s="58">
        <v>-5.8962369515324457E-3</v>
      </c>
      <c r="W16" s="41">
        <v>6.0240184556922274E-2</v>
      </c>
      <c r="X16" s="41">
        <v>-5.8962369515324457E-3</v>
      </c>
      <c r="Y16" s="41">
        <v>6.0240184556922274E-2</v>
      </c>
    </row>
    <row r="17" spans="1:25" ht="14.5" x14ac:dyDescent="0.35">
      <c r="A17" s="2" t="s">
        <v>453</v>
      </c>
      <c r="B17" s="11">
        <v>26550.3</v>
      </c>
      <c r="C17" s="52">
        <v>0.87493939393939402</v>
      </c>
      <c r="D17" s="53">
        <v>8</v>
      </c>
      <c r="E17" s="54">
        <f t="shared" si="1"/>
        <v>7.2638784939366152E-2</v>
      </c>
      <c r="F17" s="54">
        <f t="shared" si="2"/>
        <v>0.13719418174342099</v>
      </c>
      <c r="G17" s="54">
        <v>2.9336778663568478E-3</v>
      </c>
      <c r="H17" s="42">
        <f t="shared" si="3"/>
        <v>23415.693163881409</v>
      </c>
      <c r="I17" s="57">
        <f t="shared" si="4"/>
        <v>0.11806295356807983</v>
      </c>
      <c r="J17" s="57">
        <f t="shared" si="0"/>
        <v>1.3938861005218574E-2</v>
      </c>
      <c r="K17" s="57">
        <f t="shared" si="5"/>
        <v>-0.11806295356807983</v>
      </c>
      <c r="Q17" s="58" t="s">
        <v>376</v>
      </c>
      <c r="R17" s="58">
        <v>-0.36023123676169339</v>
      </c>
      <c r="S17" s="61">
        <v>0.23957459575356921</v>
      </c>
      <c r="T17" s="58">
        <v>-1.5036286949732927</v>
      </c>
      <c r="U17" s="58">
        <v>0.1375959464385369</v>
      </c>
      <c r="V17" s="58">
        <v>-0.83883651111977287</v>
      </c>
      <c r="W17" s="41">
        <v>0.11837403759638604</v>
      </c>
      <c r="X17" s="41">
        <v>-0.83883651111977287</v>
      </c>
      <c r="Y17" s="41">
        <v>0.11837403759638604</v>
      </c>
    </row>
    <row r="18" spans="1:25" ht="14.5" x14ac:dyDescent="0.35">
      <c r="A18" s="2" t="s">
        <v>454</v>
      </c>
      <c r="B18" s="11">
        <v>26076.5</v>
      </c>
      <c r="C18" s="52">
        <v>1.0204692577953425</v>
      </c>
      <c r="D18" s="53">
        <v>9</v>
      </c>
      <c r="E18" s="54">
        <f t="shared" si="1"/>
        <v>7.063261350012473E-2</v>
      </c>
      <c r="F18" s="54">
        <f t="shared" si="2"/>
        <v>-1.7845372745317351E-2</v>
      </c>
      <c r="G18" s="54">
        <v>3.0064810035418388E-3</v>
      </c>
      <c r="H18" s="42">
        <f t="shared" si="3"/>
        <v>26630.122972588339</v>
      </c>
      <c r="I18" s="57">
        <f t="shared" si="4"/>
        <v>2.1230723931062012E-2</v>
      </c>
      <c r="J18" s="57">
        <f t="shared" si="0"/>
        <v>4.5074363863696924E-4</v>
      </c>
      <c r="K18" s="57">
        <f t="shared" si="5"/>
        <v>2.1230723931062012E-2</v>
      </c>
      <c r="T18" s="40"/>
      <c r="U18" s="40"/>
      <c r="V18" s="40"/>
      <c r="W18"/>
      <c r="X18"/>
      <c r="Y18"/>
    </row>
    <row r="19" spans="1:25" ht="14.5" x14ac:dyDescent="0.35">
      <c r="A19" s="2" t="s">
        <v>455</v>
      </c>
      <c r="B19" s="11">
        <v>29574.400000000001</v>
      </c>
      <c r="C19" s="52">
        <v>1.09316994478951</v>
      </c>
      <c r="D19" s="53">
        <v>12</v>
      </c>
      <c r="E19" s="54">
        <f t="shared" si="1"/>
        <v>7.8989246445110073E-2</v>
      </c>
      <c r="F19" s="54">
        <f t="shared" si="2"/>
        <v>0.13413993442371488</v>
      </c>
      <c r="G19" s="54">
        <v>2.0880800665646257E-3</v>
      </c>
      <c r="H19" s="42">
        <f t="shared" si="3"/>
        <v>26130.94981985577</v>
      </c>
      <c r="I19" s="57">
        <f t="shared" si="4"/>
        <v>0.11643347557834584</v>
      </c>
      <c r="J19" s="57">
        <f t="shared" si="0"/>
        <v>1.3556754235253257E-2</v>
      </c>
      <c r="K19" s="57">
        <f t="shared" si="5"/>
        <v>-0.11643347557834584</v>
      </c>
      <c r="Q19" s="40"/>
      <c r="R19" s="40"/>
      <c r="S19" s="56"/>
      <c r="T19" s="40"/>
      <c r="U19" s="40"/>
      <c r="V19" s="40"/>
      <c r="W19"/>
      <c r="X19"/>
      <c r="Y19"/>
    </row>
    <row r="20" spans="1:25" ht="14.5" x14ac:dyDescent="0.35">
      <c r="A20" s="2" t="s">
        <v>456</v>
      </c>
      <c r="B20" s="11">
        <v>29747.7</v>
      </c>
      <c r="C20" s="52">
        <v>1.4116307814992031</v>
      </c>
      <c r="D20" s="53">
        <v>14</v>
      </c>
      <c r="E20" s="54">
        <f t="shared" si="1"/>
        <v>0.10788889161520099</v>
      </c>
      <c r="F20" s="54">
        <f t="shared" si="2"/>
        <v>5.8597976628435152E-3</v>
      </c>
      <c r="G20" s="54">
        <v>1.5077887707106961E-3</v>
      </c>
      <c r="H20" s="42">
        <f t="shared" si="3"/>
        <v>29618.991948220508</v>
      </c>
      <c r="I20" s="57">
        <f t="shared" si="4"/>
        <v>4.3266555659594846E-3</v>
      </c>
      <c r="J20" s="57">
        <f t="shared" si="0"/>
        <v>1.8719948386448189E-5</v>
      </c>
      <c r="K20" s="57">
        <f t="shared" si="5"/>
        <v>-4.3266555659594846E-3</v>
      </c>
      <c r="Q20" s="40"/>
      <c r="R20" s="40"/>
      <c r="S20" s="56"/>
      <c r="T20" s="40"/>
      <c r="U20" s="40"/>
      <c r="V20" s="40"/>
      <c r="W20"/>
      <c r="X20"/>
      <c r="Y20"/>
    </row>
    <row r="21" spans="1:25" ht="14.5" x14ac:dyDescent="0.35">
      <c r="A21" s="2" t="s">
        <v>457</v>
      </c>
      <c r="B21" s="11">
        <v>27872.2</v>
      </c>
      <c r="C21" s="52">
        <v>1.5620535165317802</v>
      </c>
      <c r="D21" s="53">
        <v>14</v>
      </c>
      <c r="E21" s="54">
        <f t="shared" si="1"/>
        <v>0.12413141492245239</v>
      </c>
      <c r="F21" s="54">
        <f t="shared" si="2"/>
        <v>-6.3046891020146087E-2</v>
      </c>
      <c r="G21" s="54">
        <v>-1.0162019997311672E-3</v>
      </c>
      <c r="H21" s="42">
        <f t="shared" si="3"/>
        <v>29717.470327772597</v>
      </c>
      <c r="I21" s="57">
        <f t="shared" si="4"/>
        <v>6.620468882157117E-2</v>
      </c>
      <c r="J21" s="57">
        <f t="shared" si="0"/>
        <v>4.3830608219610706E-3</v>
      </c>
      <c r="K21" s="57">
        <f t="shared" si="5"/>
        <v>6.620468882157117E-2</v>
      </c>
      <c r="Q21" s="40"/>
      <c r="R21" s="40"/>
      <c r="S21" s="56"/>
      <c r="T21" s="40"/>
      <c r="U21" s="40"/>
      <c r="V21" s="40"/>
      <c r="W21"/>
      <c r="X21"/>
      <c r="Y21"/>
    </row>
    <row r="22" spans="1:25" ht="14.5" x14ac:dyDescent="0.35">
      <c r="A22" s="2" t="s">
        <v>458</v>
      </c>
      <c r="B22" s="11">
        <v>27216.2</v>
      </c>
      <c r="C22" s="52">
        <v>1.4955447330447331</v>
      </c>
      <c r="D22" s="53">
        <v>15</v>
      </c>
      <c r="E22" s="54">
        <f t="shared" si="1"/>
        <v>0.12246647298681923</v>
      </c>
      <c r="F22" s="54">
        <f t="shared" si="2"/>
        <v>-2.3535996440898099E-2</v>
      </c>
      <c r="G22" s="54">
        <v>-1.4690769264372999E-3</v>
      </c>
      <c r="H22" s="42">
        <f t="shared" si="3"/>
        <v>27831.253594090955</v>
      </c>
      <c r="I22" s="57">
        <f t="shared" si="4"/>
        <v>2.2598804906304112E-2</v>
      </c>
      <c r="J22" s="57">
        <f t="shared" si="0"/>
        <v>5.107059831931948E-4</v>
      </c>
      <c r="K22" s="57">
        <f t="shared" si="5"/>
        <v>2.2598804906304112E-2</v>
      </c>
      <c r="Q22" s="40" t="s">
        <v>377</v>
      </c>
      <c r="R22" s="40"/>
      <c r="S22" s="56"/>
      <c r="T22" s="40"/>
      <c r="U22" s="40"/>
      <c r="V22" s="40"/>
      <c r="W22"/>
      <c r="X22"/>
      <c r="Y22"/>
    </row>
    <row r="23" spans="1:25" ht="14.5" x14ac:dyDescent="0.35">
      <c r="A23" s="2" t="s">
        <v>459</v>
      </c>
      <c r="B23" s="11">
        <v>27780.1</v>
      </c>
      <c r="C23" s="52">
        <v>1.0429891774891753</v>
      </c>
      <c r="D23" s="53">
        <v>14</v>
      </c>
      <c r="E23" s="54">
        <f t="shared" si="1"/>
        <v>0.13305466069939209</v>
      </c>
      <c r="F23" s="54">
        <f t="shared" si="2"/>
        <v>2.0719277489142415E-2</v>
      </c>
      <c r="G23" s="54">
        <v>5.3814258294147474E-6</v>
      </c>
      <c r="H23" s="42">
        <f t="shared" si="3"/>
        <v>27216.346461961657</v>
      </c>
      <c r="I23" s="57">
        <f t="shared" si="4"/>
        <v>2.0293430838562193E-2</v>
      </c>
      <c r="J23" s="57">
        <f t="shared" si="0"/>
        <v>4.1182333519950706E-4</v>
      </c>
      <c r="K23" s="57">
        <f t="shared" si="5"/>
        <v>-2.0293430838562193E-2</v>
      </c>
      <c r="Q23" s="40"/>
      <c r="R23" s="40"/>
      <c r="S23" s="56"/>
      <c r="T23" s="40"/>
      <c r="U23" s="40"/>
      <c r="V23" s="40"/>
      <c r="W23"/>
      <c r="X23"/>
      <c r="Y23"/>
    </row>
    <row r="24" spans="1:25" ht="14.5" x14ac:dyDescent="0.35">
      <c r="A24" s="2" t="s">
        <v>460</v>
      </c>
      <c r="B24" s="11">
        <v>26429.9</v>
      </c>
      <c r="C24" s="52">
        <v>0.69602734107997277</v>
      </c>
      <c r="D24" s="53">
        <v>11</v>
      </c>
      <c r="E24" s="54">
        <f t="shared" si="1"/>
        <v>0.12823265550617213</v>
      </c>
      <c r="F24" s="54">
        <f t="shared" si="2"/>
        <v>-4.8603136777765274E-2</v>
      </c>
      <c r="G24" s="54">
        <v>1.4677254251481212E-3</v>
      </c>
      <c r="H24" s="42">
        <f t="shared" si="3"/>
        <v>27820.873559083153</v>
      </c>
      <c r="I24" s="57">
        <f t="shared" si="4"/>
        <v>5.2628786301997035E-2</v>
      </c>
      <c r="J24" s="57">
        <f t="shared" si="0"/>
        <v>2.7697891476212706E-3</v>
      </c>
      <c r="K24" s="57">
        <f t="shared" si="5"/>
        <v>5.2628786301997035E-2</v>
      </c>
      <c r="Q24" s="55" t="s">
        <v>378</v>
      </c>
      <c r="R24" s="55" t="s">
        <v>353</v>
      </c>
      <c r="S24" s="59" t="s">
        <v>379</v>
      </c>
      <c r="T24" s="40"/>
      <c r="U24" s="40"/>
      <c r="V24" s="40"/>
      <c r="W24"/>
      <c r="X24"/>
      <c r="Y24"/>
    </row>
    <row r="25" spans="1:25" ht="14.5" x14ac:dyDescent="0.35">
      <c r="A25" s="2" t="s">
        <v>461</v>
      </c>
      <c r="B25" s="11">
        <v>26832.7</v>
      </c>
      <c r="C25" s="52">
        <v>0.35857891963109362</v>
      </c>
      <c r="D25" s="53">
        <v>10</v>
      </c>
      <c r="E25" s="54">
        <f t="shared" si="1"/>
        <v>0.10232749921720541</v>
      </c>
      <c r="F25" s="54">
        <f t="shared" si="2"/>
        <v>1.5240314946329696E-2</v>
      </c>
      <c r="G25" s="54">
        <v>3.9395669792691174E-3</v>
      </c>
      <c r="H25" s="42">
        <f t="shared" si="3"/>
        <v>26534.022361305389</v>
      </c>
      <c r="I25" s="57">
        <f t="shared" si="4"/>
        <v>1.1131106399826004E-2</v>
      </c>
      <c r="J25" s="57">
        <f t="shared" si="0"/>
        <v>1.2390152968424741E-4</v>
      </c>
      <c r="K25" s="57">
        <f t="shared" si="5"/>
        <v>-1.1131106399826004E-2</v>
      </c>
      <c r="Q25" s="58">
        <v>1</v>
      </c>
      <c r="R25" s="58">
        <v>1.7874151634293484E-2</v>
      </c>
      <c r="S25" s="61">
        <v>3.2077076828599532E-3</v>
      </c>
      <c r="T25" s="40"/>
      <c r="U25" s="40"/>
      <c r="V25" s="40"/>
      <c r="W25"/>
      <c r="X25"/>
      <c r="Y25"/>
    </row>
    <row r="26" spans="1:25" ht="14.5" x14ac:dyDescent="0.35">
      <c r="A26" s="2" t="s">
        <v>462</v>
      </c>
      <c r="B26" s="11">
        <v>27472</v>
      </c>
      <c r="C26" s="52">
        <v>0.19512890922959567</v>
      </c>
      <c r="D26" s="53">
        <v>9</v>
      </c>
      <c r="E26" s="54">
        <f t="shared" si="1"/>
        <v>9.6069725021614039E-2</v>
      </c>
      <c r="F26" s="54">
        <f t="shared" si="2"/>
        <v>2.3825407059297025E-2</v>
      </c>
      <c r="G26" s="54">
        <v>4.1688028566509907E-3</v>
      </c>
      <c r="H26" s="42">
        <f t="shared" si="3"/>
        <v>26944.560236411657</v>
      </c>
      <c r="I26" s="57">
        <f t="shared" si="4"/>
        <v>1.9199176018795259E-2</v>
      </c>
      <c r="J26" s="57">
        <f t="shared" si="0"/>
        <v>3.6860835980068299E-4</v>
      </c>
      <c r="K26" s="57">
        <f t="shared" si="5"/>
        <v>-1.9199176018795259E-2</v>
      </c>
      <c r="Q26" s="58">
        <v>2</v>
      </c>
      <c r="R26" s="58">
        <v>1.8049938816170313E-2</v>
      </c>
      <c r="S26" s="61">
        <v>3.2563965358011933E-2</v>
      </c>
      <c r="T26" s="40"/>
      <c r="U26" s="40"/>
      <c r="V26" s="40"/>
      <c r="W26"/>
      <c r="X26"/>
      <c r="Y26"/>
    </row>
    <row r="27" spans="1:25" ht="14.5" x14ac:dyDescent="0.35">
      <c r="A27" s="2" t="s">
        <v>463</v>
      </c>
      <c r="B27" s="11">
        <v>26821.7</v>
      </c>
      <c r="C27" s="52">
        <v>0.21143636363636364</v>
      </c>
      <c r="D27" s="53">
        <v>8</v>
      </c>
      <c r="E27" s="54">
        <f t="shared" si="1"/>
        <v>8.7877237013658238E-2</v>
      </c>
      <c r="F27" s="54">
        <f t="shared" si="2"/>
        <v>-2.3671374490390189E-2</v>
      </c>
      <c r="G27" s="54">
        <v>3.8960908841258086E-3</v>
      </c>
      <c r="H27" s="42">
        <f t="shared" si="3"/>
        <v>27579.033408768708</v>
      </c>
      <c r="I27" s="57">
        <f t="shared" si="4"/>
        <v>2.8235846675218466E-2</v>
      </c>
      <c r="J27" s="57">
        <f t="shared" si="0"/>
        <v>7.9726303746644573E-4</v>
      </c>
      <c r="K27" s="57">
        <f t="shared" si="5"/>
        <v>2.8235846675218466E-2</v>
      </c>
      <c r="Q27" s="58">
        <v>3</v>
      </c>
      <c r="R27" s="58">
        <v>1.9072831162682328E-2</v>
      </c>
      <c r="S27" s="61">
        <v>-3.0981339315465026E-4</v>
      </c>
      <c r="T27" s="40"/>
      <c r="U27" s="40"/>
      <c r="V27" s="40"/>
      <c r="W27"/>
      <c r="X27"/>
      <c r="Y27"/>
    </row>
    <row r="28" spans="1:25" ht="14.5" x14ac:dyDescent="0.35">
      <c r="A28" s="2" t="s">
        <v>464</v>
      </c>
      <c r="B28" s="11">
        <v>27537.9</v>
      </c>
      <c r="C28" s="52">
        <v>0.20679401154401167</v>
      </c>
      <c r="D28" s="53">
        <v>7</v>
      </c>
      <c r="E28" s="54">
        <f t="shared" si="1"/>
        <v>7.7721305262019813E-2</v>
      </c>
      <c r="F28" s="54">
        <f t="shared" si="2"/>
        <v>2.6702259737451418E-2</v>
      </c>
      <c r="G28" s="54">
        <v>3.7664238914874E-3</v>
      </c>
      <c r="H28" s="42">
        <f t="shared" si="3"/>
        <v>26922.721891690308</v>
      </c>
      <c r="I28" s="57">
        <f t="shared" si="4"/>
        <v>2.2339325377377865E-2</v>
      </c>
      <c r="J28" s="57">
        <f t="shared" si="0"/>
        <v>4.9904545831635865E-4</v>
      </c>
      <c r="K28" s="57">
        <f t="shared" si="5"/>
        <v>-2.2339325377377865E-2</v>
      </c>
      <c r="Q28" s="58">
        <v>4</v>
      </c>
      <c r="R28" s="58">
        <v>1.9517643828464989E-2</v>
      </c>
      <c r="S28" s="61">
        <v>6.7424186796000388E-2</v>
      </c>
      <c r="T28" s="40"/>
      <c r="U28" s="40"/>
      <c r="V28" s="40"/>
      <c r="W28"/>
      <c r="X28"/>
      <c r="Y28"/>
    </row>
    <row r="29" spans="1:25" ht="14.5" x14ac:dyDescent="0.35">
      <c r="A29" s="2" t="s">
        <v>465</v>
      </c>
      <c r="B29" s="11">
        <v>28554</v>
      </c>
      <c r="C29" s="52">
        <v>0.22351217140347568</v>
      </c>
      <c r="D29" s="53">
        <v>7</v>
      </c>
      <c r="E29" s="54">
        <f t="shared" si="1"/>
        <v>6.7791870356349149E-2</v>
      </c>
      <c r="F29" s="54">
        <f t="shared" si="2"/>
        <v>3.6898238427766766E-2</v>
      </c>
      <c r="G29" s="54">
        <v>3.7094122830633432E-3</v>
      </c>
      <c r="H29" s="42">
        <f t="shared" si="3"/>
        <v>27640.049424509773</v>
      </c>
      <c r="I29" s="57">
        <f t="shared" si="4"/>
        <v>3.200779489704516E-2</v>
      </c>
      <c r="J29" s="57">
        <f t="shared" si="0"/>
        <v>1.0244989341713102E-3</v>
      </c>
      <c r="K29" s="57">
        <f t="shared" si="5"/>
        <v>-3.200779489704516E-2</v>
      </c>
      <c r="Q29" s="58">
        <v>5</v>
      </c>
      <c r="R29" s="58">
        <v>1.6759481373114622E-2</v>
      </c>
      <c r="S29" s="61">
        <v>2.7387736356603111E-2</v>
      </c>
      <c r="T29" s="40"/>
      <c r="U29" s="40"/>
      <c r="V29" s="40"/>
      <c r="W29"/>
      <c r="X29"/>
      <c r="Y29"/>
    </row>
    <row r="30" spans="1:25" ht="14.5" x14ac:dyDescent="0.35">
      <c r="A30" s="2" t="s">
        <v>466</v>
      </c>
      <c r="B30" s="11">
        <v>28967.599999999999</v>
      </c>
      <c r="C30" s="52">
        <v>0.2409023464458247</v>
      </c>
      <c r="D30" s="53">
        <v>7</v>
      </c>
      <c r="E30" s="54">
        <f t="shared" si="1"/>
        <v>6.7613753317757208E-2</v>
      </c>
      <c r="F30" s="54">
        <f t="shared" si="2"/>
        <v>1.4484835749807332E-2</v>
      </c>
      <c r="G30" s="54">
        <v>3.659447285305626E-3</v>
      </c>
      <c r="H30" s="42">
        <f t="shared" si="3"/>
        <v>28658.491857784615</v>
      </c>
      <c r="I30" s="57">
        <f t="shared" si="4"/>
        <v>1.0670823341090869E-2</v>
      </c>
      <c r="J30" s="57">
        <f t="shared" si="0"/>
        <v>1.1386647077676968E-4</v>
      </c>
      <c r="K30" s="57">
        <f t="shared" si="5"/>
        <v>-1.0670823341090869E-2</v>
      </c>
      <c r="Q30" s="58">
        <v>6</v>
      </c>
      <c r="R30" s="58">
        <v>-7.6607531713164707E-3</v>
      </c>
      <c r="S30" s="61">
        <v>-0.109371348311276</v>
      </c>
      <c r="T30" s="40"/>
      <c r="U30" s="40"/>
      <c r="V30" s="40"/>
      <c r="W30"/>
      <c r="X30"/>
      <c r="Y30"/>
    </row>
    <row r="31" spans="1:25" ht="14.5" x14ac:dyDescent="0.35">
      <c r="A31" s="2" t="s">
        <v>467</v>
      </c>
      <c r="B31" s="11">
        <v>29020.3</v>
      </c>
      <c r="C31" s="52">
        <v>0.29515959595959601</v>
      </c>
      <c r="D31" s="53">
        <v>6.5</v>
      </c>
      <c r="E31" s="54">
        <f t="shared" si="1"/>
        <v>6.7428539601467774E-2</v>
      </c>
      <c r="F31" s="54">
        <f t="shared" si="2"/>
        <v>1.8192739474447565E-3</v>
      </c>
      <c r="G31" s="54">
        <v>3.6388783690319134E-3</v>
      </c>
      <c r="H31" s="42">
        <f t="shared" si="3"/>
        <v>29073.009573042771</v>
      </c>
      <c r="I31" s="57">
        <f t="shared" si="4"/>
        <v>1.8163000741815835E-3</v>
      </c>
      <c r="J31" s="57">
        <f t="shared" si="0"/>
        <v>3.2989459594720255E-6</v>
      </c>
      <c r="K31" s="57">
        <f t="shared" si="5"/>
        <v>1.8163000741815835E-3</v>
      </c>
      <c r="Q31" s="58">
        <v>7</v>
      </c>
      <c r="R31" s="58">
        <v>-7.2041963563989585E-3</v>
      </c>
      <c r="S31" s="61">
        <v>5.0398159445194129E-2</v>
      </c>
      <c r="T31" s="40"/>
      <c r="U31" s="40"/>
      <c r="V31" s="40"/>
      <c r="W31"/>
      <c r="X31"/>
      <c r="Y31"/>
    </row>
    <row r="32" spans="1:25" ht="14.5" x14ac:dyDescent="0.35">
      <c r="A32" s="2" t="s">
        <v>468</v>
      </c>
      <c r="B32" s="11">
        <v>29161.8</v>
      </c>
      <c r="C32" s="52">
        <v>0.29858333333333331</v>
      </c>
      <c r="D32" s="53">
        <v>6.5</v>
      </c>
      <c r="E32" s="54">
        <f t="shared" si="1"/>
        <v>6.1865801191569592E-2</v>
      </c>
      <c r="F32" s="54">
        <f t="shared" si="2"/>
        <v>4.8758972167758435E-3</v>
      </c>
      <c r="G32" s="54">
        <v>4.1355238553470123E-3</v>
      </c>
      <c r="H32" s="42">
        <f t="shared" si="3"/>
        <v>29140.314142939329</v>
      </c>
      <c r="I32" s="57">
        <f t="shared" si="4"/>
        <v>7.367808935206414E-4</v>
      </c>
      <c r="J32" s="57">
        <f t="shared" si="0"/>
        <v>5.4284608505707467E-7</v>
      </c>
      <c r="K32" s="57">
        <f t="shared" si="5"/>
        <v>-7.367808935206414E-4</v>
      </c>
      <c r="Q32" s="58">
        <v>8</v>
      </c>
      <c r="R32" s="58">
        <v>8.9025548548751013E-3</v>
      </c>
      <c r="S32" s="61">
        <v>-4.4764132846135757E-2</v>
      </c>
      <c r="T32" s="40"/>
      <c r="U32" s="40"/>
      <c r="V32" s="40"/>
      <c r="W32"/>
      <c r="X32"/>
      <c r="Y32"/>
    </row>
    <row r="33" spans="1:25" ht="14.5" x14ac:dyDescent="0.35">
      <c r="A33" s="2" t="s">
        <v>469</v>
      </c>
      <c r="B33" s="11">
        <v>26746.1</v>
      </c>
      <c r="C33" s="52">
        <v>0.16456860530773604</v>
      </c>
      <c r="D33" s="53">
        <v>6.5</v>
      </c>
      <c r="E33" s="54">
        <f t="shared" si="1"/>
        <v>6.1829553923576475E-2</v>
      </c>
      <c r="F33" s="54">
        <f t="shared" si="2"/>
        <v>-8.2837822082313189E-2</v>
      </c>
      <c r="G33" s="54">
        <v>3.9159346832373116E-3</v>
      </c>
      <c r="H33" s="42">
        <f t="shared" si="3"/>
        <v>29275.995704045632</v>
      </c>
      <c r="I33" s="57">
        <f t="shared" si="4"/>
        <v>9.4589330932196972E-2</v>
      </c>
      <c r="J33" s="57">
        <f t="shared" si="0"/>
        <v>8.9471415262006755E-3</v>
      </c>
      <c r="K33" s="57">
        <f t="shared" si="5"/>
        <v>9.4589330932196972E-2</v>
      </c>
      <c r="Q33" s="58">
        <v>9</v>
      </c>
      <c r="R33" s="58">
        <v>6.0255580186546857E-3</v>
      </c>
      <c r="S33" s="61">
        <v>5.2600267898925426E-2</v>
      </c>
      <c r="T33" s="40"/>
      <c r="U33" s="40"/>
      <c r="V33" s="40"/>
      <c r="W33"/>
      <c r="X33"/>
      <c r="Y33"/>
    </row>
    <row r="34" spans="1:25" ht="14.5" x14ac:dyDescent="0.35">
      <c r="A34" s="2" t="s">
        <v>470</v>
      </c>
      <c r="B34" s="11">
        <v>25851.3</v>
      </c>
      <c r="C34" s="52">
        <v>8.1471152518978601E-2</v>
      </c>
      <c r="D34" s="53">
        <v>6.5</v>
      </c>
      <c r="E34" s="54">
        <f t="shared" si="1"/>
        <v>6.3250223935537919E-2</v>
      </c>
      <c r="F34" s="54">
        <f t="shared" si="2"/>
        <v>-3.3455344891404705E-2</v>
      </c>
      <c r="G34" s="54">
        <v>4.3452054098091003E-3</v>
      </c>
      <c r="H34" s="42">
        <f t="shared" si="3"/>
        <v>26862.317298411297</v>
      </c>
      <c r="I34" s="57">
        <f t="shared" si="4"/>
        <v>3.9108953840282609E-2</v>
      </c>
      <c r="J34" s="57">
        <f t="shared" si="0"/>
        <v>1.5295102704813558E-3</v>
      </c>
      <c r="K34" s="57">
        <f t="shared" si="5"/>
        <v>3.9108953840282609E-2</v>
      </c>
      <c r="Q34" s="58">
        <v>10</v>
      </c>
      <c r="R34" s="58">
        <v>6.9422469677155839E-3</v>
      </c>
      <c r="S34" s="61">
        <v>3.983441641187721E-2</v>
      </c>
      <c r="T34" s="40"/>
      <c r="U34" s="40"/>
      <c r="V34" s="40"/>
      <c r="W34"/>
      <c r="X34"/>
      <c r="Y34"/>
    </row>
    <row r="35" spans="1:25" ht="14.5" x14ac:dyDescent="0.35">
      <c r="A35" s="2" t="s">
        <v>471</v>
      </c>
      <c r="B35" s="11">
        <v>23091</v>
      </c>
      <c r="C35" s="52">
        <v>4.6016161616161629E-2</v>
      </c>
      <c r="D35" s="53">
        <v>6.5</v>
      </c>
      <c r="E35" s="54">
        <f t="shared" si="1"/>
        <v>6.413303854915875E-2</v>
      </c>
      <c r="F35" s="54">
        <f t="shared" si="2"/>
        <v>-0.10677606155203025</v>
      </c>
      <c r="G35" s="54">
        <v>4.8187407214324383E-3</v>
      </c>
      <c r="H35" s="42">
        <f t="shared" si="3"/>
        <v>25975.870712011965</v>
      </c>
      <c r="I35" s="57">
        <f t="shared" si="4"/>
        <v>0.12493485392629013</v>
      </c>
      <c r="J35" s="57">
        <f t="shared" si="0"/>
        <v>1.5608717725583452E-2</v>
      </c>
      <c r="K35" s="57">
        <f t="shared" si="5"/>
        <v>0.12493485392629013</v>
      </c>
      <c r="Q35" s="58">
        <v>11</v>
      </c>
      <c r="R35" s="58">
        <v>5.2771298354360695E-3</v>
      </c>
      <c r="S35" s="61">
        <v>7.735496011361245E-3</v>
      </c>
      <c r="T35" s="40"/>
      <c r="U35" s="40"/>
      <c r="V35" s="40"/>
      <c r="W35"/>
      <c r="X35"/>
      <c r="Y35"/>
    </row>
    <row r="36" spans="1:25" ht="14.5" x14ac:dyDescent="0.35">
      <c r="A36" s="2" t="s">
        <v>472</v>
      </c>
      <c r="B36" s="11">
        <v>24263.200000000001</v>
      </c>
      <c r="C36" s="52">
        <v>-6.5258373205741675E-3</v>
      </c>
      <c r="D36" s="53">
        <v>6.5</v>
      </c>
      <c r="E36" s="54">
        <f t="shared" si="1"/>
        <v>6.4510153287442584E-2</v>
      </c>
      <c r="F36" s="54">
        <f t="shared" si="2"/>
        <v>5.0764367069421015E-2</v>
      </c>
      <c r="G36" s="54">
        <v>5.1976706565853362E-3</v>
      </c>
      <c r="H36" s="42">
        <f t="shared" si="3"/>
        <v>23211.019413131209</v>
      </c>
      <c r="I36" s="57">
        <f t="shared" si="4"/>
        <v>4.3365285158956428E-2</v>
      </c>
      <c r="J36" s="57">
        <f t="shared" si="0"/>
        <v>1.8805479569176066E-3</v>
      </c>
      <c r="K36" s="57">
        <f t="shared" si="5"/>
        <v>-4.3365285158956428E-2</v>
      </c>
      <c r="Q36" s="58">
        <v>12</v>
      </c>
      <c r="R36" s="58">
        <v>1.1419412272762573E-3</v>
      </c>
      <c r="S36" s="61">
        <v>-2.6069264885551963E-2</v>
      </c>
      <c r="T36" s="40"/>
      <c r="U36" s="40"/>
      <c r="V36" s="40"/>
      <c r="W36"/>
      <c r="X36"/>
      <c r="Y36"/>
    </row>
    <row r="37" spans="1:25" ht="14.5" x14ac:dyDescent="0.35">
      <c r="A37" s="2" t="s">
        <v>473</v>
      </c>
      <c r="B37" s="11">
        <v>25118.1</v>
      </c>
      <c r="C37" s="52">
        <v>-2.7817083882301297E-2</v>
      </c>
      <c r="D37" s="53">
        <v>6.5</v>
      </c>
      <c r="E37" s="54">
        <f t="shared" si="1"/>
        <v>6.5069504703227921E-2</v>
      </c>
      <c r="F37" s="54">
        <f t="shared" si="2"/>
        <v>3.523442909426612E-2</v>
      </c>
      <c r="G37" s="54">
        <v>5.3972311323841216E-3</v>
      </c>
      <c r="H37" s="42">
        <f t="shared" si="3"/>
        <v>24394.154098411265</v>
      </c>
      <c r="I37" s="57">
        <f t="shared" si="4"/>
        <v>2.8821682435722976E-2</v>
      </c>
      <c r="J37" s="57">
        <f t="shared" si="0"/>
        <v>8.3068937842566235E-4</v>
      </c>
      <c r="K37" s="57">
        <f t="shared" si="5"/>
        <v>-2.8821682435722976E-2</v>
      </c>
      <c r="Q37" s="58">
        <v>13</v>
      </c>
      <c r="R37" s="58">
        <v>9.1256664731956608E-4</v>
      </c>
      <c r="S37" s="61">
        <v>-9.5754290337396492E-2</v>
      </c>
      <c r="T37" s="40"/>
      <c r="U37" s="40"/>
      <c r="V37" s="40"/>
      <c r="W37"/>
      <c r="X37"/>
      <c r="Y37"/>
    </row>
    <row r="38" spans="1:25" ht="14.5" x14ac:dyDescent="0.35">
      <c r="A38" s="2" t="s">
        <v>474</v>
      </c>
      <c r="B38" s="11">
        <v>24413.3</v>
      </c>
      <c r="C38" s="52">
        <v>-8.9176046176046242E-2</v>
      </c>
      <c r="D38" s="53">
        <v>6.5</v>
      </c>
      <c r="E38" s="54">
        <f t="shared" si="1"/>
        <v>6.5296334374927989E-2</v>
      </c>
      <c r="F38" s="54">
        <f t="shared" si="2"/>
        <v>-2.8059447171561516E-2</v>
      </c>
      <c r="G38" s="54">
        <v>5.6579835239078781E-3</v>
      </c>
      <c r="H38" s="42">
        <f t="shared" si="3"/>
        <v>25260.21779595187</v>
      </c>
      <c r="I38" s="57">
        <f t="shared" si="4"/>
        <v>3.4690836386390658E-2</v>
      </c>
      <c r="J38" s="57">
        <f t="shared" si="0"/>
        <v>1.2034541291873261E-3</v>
      </c>
      <c r="K38" s="57">
        <f t="shared" si="5"/>
        <v>3.4690836386390658E-2</v>
      </c>
      <c r="Q38" s="58">
        <v>14</v>
      </c>
      <c r="R38" s="58">
        <v>1.0052144671203814E-3</v>
      </c>
      <c r="S38" s="61">
        <v>0.13618896727630062</v>
      </c>
      <c r="T38" s="40"/>
      <c r="U38" s="40"/>
      <c r="V38" s="40"/>
      <c r="W38"/>
      <c r="X38"/>
      <c r="Y38"/>
    </row>
    <row r="39" spans="1:25" ht="14.5" x14ac:dyDescent="0.35">
      <c r="A39" s="2" t="s">
        <v>475</v>
      </c>
      <c r="B39" s="11">
        <v>25357</v>
      </c>
      <c r="C39" s="52">
        <v>-0.18608174603174632</v>
      </c>
      <c r="D39" s="53">
        <v>6.5</v>
      </c>
      <c r="E39" s="54">
        <f t="shared" si="1"/>
        <v>6.5950572574813071E-2</v>
      </c>
      <c r="F39" s="54">
        <f t="shared" si="2"/>
        <v>3.86551592779346E-2</v>
      </c>
      <c r="G39" s="54">
        <v>5.4714454967857307E-3</v>
      </c>
      <c r="H39" s="42">
        <f t="shared" si="3"/>
        <v>24546.876040346677</v>
      </c>
      <c r="I39" s="57">
        <f t="shared" si="4"/>
        <v>3.1948730514387479E-2</v>
      </c>
      <c r="J39" s="57">
        <f t="shared" si="0"/>
        <v>1.0207213814809536E-3</v>
      </c>
      <c r="K39" s="57">
        <f t="shared" si="5"/>
        <v>-3.1948730514387479E-2</v>
      </c>
      <c r="Q39" s="58">
        <v>15</v>
      </c>
      <c r="R39" s="58">
        <v>1.7279000858343024E-3</v>
      </c>
      <c r="S39" s="61">
        <v>-1.9573272831151654E-2</v>
      </c>
      <c r="T39" s="40"/>
      <c r="U39" s="40"/>
      <c r="V39" s="40"/>
      <c r="W39"/>
      <c r="X39"/>
      <c r="Y39"/>
    </row>
    <row r="40" spans="1:25" ht="14.5" x14ac:dyDescent="0.35">
      <c r="A40" s="2" t="s">
        <v>476</v>
      </c>
      <c r="B40" s="11">
        <v>24765.3</v>
      </c>
      <c r="C40" s="52">
        <v>-0.25809379509379504</v>
      </c>
      <c r="D40" s="53">
        <v>6.5</v>
      </c>
      <c r="E40" s="54">
        <f t="shared" si="1"/>
        <v>6.6985465183518222E-2</v>
      </c>
      <c r="F40" s="54">
        <f t="shared" si="2"/>
        <v>-2.3334779350869611E-2</v>
      </c>
      <c r="G40" s="54">
        <v>4.9511859742233256E-3</v>
      </c>
      <c r="H40" s="42">
        <f t="shared" si="3"/>
        <v>25482.547222748381</v>
      </c>
      <c r="I40" s="57">
        <f t="shared" si="4"/>
        <v>2.8961782120482341E-2</v>
      </c>
      <c r="J40" s="57">
        <f t="shared" si="0"/>
        <v>8.3878482359429061E-4</v>
      </c>
      <c r="K40" s="57">
        <f t="shared" si="5"/>
        <v>2.8961782120482341E-2</v>
      </c>
      <c r="Q40" s="58">
        <v>16</v>
      </c>
      <c r="R40" s="58">
        <v>-1.2824201351012768E-3</v>
      </c>
      <c r="S40" s="61">
        <v>0.13542235455881615</v>
      </c>
      <c r="T40" s="40"/>
      <c r="U40" s="40"/>
      <c r="V40" s="40"/>
      <c r="W40"/>
      <c r="X40"/>
      <c r="Y40"/>
    </row>
    <row r="41" spans="1:25" ht="14.5" x14ac:dyDescent="0.35">
      <c r="A41" s="2" t="s">
        <v>477</v>
      </c>
      <c r="B41" s="11">
        <v>25064.1</v>
      </c>
      <c r="C41" s="52">
        <v>-0.29812585482150689</v>
      </c>
      <c r="D41" s="53">
        <v>6.5</v>
      </c>
      <c r="E41" s="54">
        <f t="shared" si="1"/>
        <v>6.7755811496225116E-2</v>
      </c>
      <c r="F41" s="54">
        <f t="shared" si="2"/>
        <v>1.2065268742958869E-2</v>
      </c>
      <c r="G41" s="54">
        <v>4.6856133407336973E-3</v>
      </c>
      <c r="H41" s="42">
        <f t="shared" si="3"/>
        <v>24881.340620067273</v>
      </c>
      <c r="I41" s="57">
        <f t="shared" si="4"/>
        <v>7.2916793315030669E-3</v>
      </c>
      <c r="J41" s="57">
        <f t="shared" si="0"/>
        <v>5.3168587473469011E-5</v>
      </c>
      <c r="K41" s="57">
        <f t="shared" si="5"/>
        <v>-7.2916793315030669E-3</v>
      </c>
      <c r="Q41" s="58">
        <v>17</v>
      </c>
      <c r="R41" s="58">
        <v>-1.1692975056697228E-2</v>
      </c>
      <c r="S41" s="61">
        <v>1.7552772719540744E-2</v>
      </c>
      <c r="T41" s="40"/>
      <c r="U41" s="40"/>
      <c r="V41" s="40"/>
      <c r="W41"/>
      <c r="X41"/>
      <c r="Y41"/>
    </row>
    <row r="42" spans="1:25" ht="14.5" x14ac:dyDescent="0.35">
      <c r="A42" s="2" t="s">
        <v>478</v>
      </c>
      <c r="B42" s="11">
        <v>23938.1</v>
      </c>
      <c r="C42" s="52">
        <v>-0.31248124098124103</v>
      </c>
      <c r="D42" s="53">
        <v>6.5</v>
      </c>
      <c r="E42" s="54">
        <f t="shared" si="1"/>
        <v>6.8184534273875164E-2</v>
      </c>
      <c r="F42" s="54">
        <f t="shared" si="2"/>
        <v>-4.4924812780031999E-2</v>
      </c>
      <c r="G42" s="54">
        <v>4.4880097763954161E-3</v>
      </c>
      <c r="H42" s="42">
        <f t="shared" si="3"/>
        <v>25176.587925836553</v>
      </c>
      <c r="I42" s="57">
        <f t="shared" si="4"/>
        <v>5.1737102185910933E-2</v>
      </c>
      <c r="J42" s="57">
        <f t="shared" si="0"/>
        <v>2.67672774259539E-3</v>
      </c>
      <c r="K42" s="57">
        <f t="shared" si="5"/>
        <v>5.1737102185910933E-2</v>
      </c>
      <c r="Q42" s="58">
        <v>18</v>
      </c>
      <c r="R42" s="58">
        <v>-1.7544039315799027E-2</v>
      </c>
      <c r="S42" s="61">
        <v>-4.5502851704347064E-2</v>
      </c>
      <c r="T42" s="40"/>
      <c r="U42" s="40"/>
      <c r="V42" s="40"/>
      <c r="W42"/>
      <c r="X42"/>
      <c r="Y42"/>
    </row>
    <row r="43" spans="1:25" ht="14.5" x14ac:dyDescent="0.35">
      <c r="A43" s="2" t="s">
        <v>479</v>
      </c>
      <c r="B43" s="11">
        <v>24231</v>
      </c>
      <c r="C43" s="52">
        <v>-0.32783109354413736</v>
      </c>
      <c r="D43" s="53">
        <v>6.5</v>
      </c>
      <c r="E43" s="54">
        <f t="shared" si="1"/>
        <v>6.833835695569368E-2</v>
      </c>
      <c r="F43" s="54">
        <f t="shared" si="2"/>
        <v>1.2235724639800213E-2</v>
      </c>
      <c r="G43" s="54">
        <v>4.236610195050278E-3</v>
      </c>
      <c r="H43" s="42">
        <f t="shared" si="3"/>
        <v>24039.516398510128</v>
      </c>
      <c r="I43" s="57">
        <f t="shared" si="4"/>
        <v>7.9024225780971458E-3</v>
      </c>
      <c r="J43" s="57">
        <f t="shared" si="0"/>
        <v>6.2448282602819546E-5</v>
      </c>
      <c r="K43" s="57">
        <f t="shared" si="5"/>
        <v>-7.9024225780971458E-3</v>
      </c>
      <c r="Q43" s="58">
        <v>19</v>
      </c>
      <c r="R43" s="58">
        <v>-1.6944275223189486E-2</v>
      </c>
      <c r="S43" s="61">
        <v>-6.5917212177086133E-3</v>
      </c>
      <c r="T43" s="40"/>
      <c r="U43" s="40"/>
      <c r="V43" s="40"/>
      <c r="W43"/>
      <c r="X43"/>
      <c r="Y43"/>
    </row>
    <row r="44" spans="1:25" ht="14.5" x14ac:dyDescent="0.35">
      <c r="A44" s="2" t="s">
        <v>480</v>
      </c>
      <c r="B44" s="11">
        <v>25964.5</v>
      </c>
      <c r="C44" s="52">
        <v>-0.32994781144781138</v>
      </c>
      <c r="D44" s="53">
        <v>6.5</v>
      </c>
      <c r="E44" s="54">
        <f t="shared" si="1"/>
        <v>6.8502884691434618E-2</v>
      </c>
      <c r="F44" s="54">
        <f t="shared" si="2"/>
        <v>7.154058850233172E-2</v>
      </c>
      <c r="G44" s="54">
        <v>4.422491353206332E-3</v>
      </c>
      <c r="H44" s="42">
        <f t="shared" si="3"/>
        <v>24338.16138797954</v>
      </c>
      <c r="I44" s="57">
        <f t="shared" si="4"/>
        <v>6.2637008685723181E-2</v>
      </c>
      <c r="J44" s="57">
        <f t="shared" si="0"/>
        <v>3.923394857095361E-3</v>
      </c>
      <c r="K44" s="57">
        <f t="shared" si="5"/>
        <v>-6.2637008685723181E-2</v>
      </c>
      <c r="Q44" s="58">
        <v>20</v>
      </c>
      <c r="R44" s="58">
        <v>-2.0758471177954579E-2</v>
      </c>
      <c r="S44" s="61">
        <v>4.1477748667096997E-2</v>
      </c>
      <c r="T44" s="40"/>
      <c r="U44" s="40"/>
      <c r="V44" s="40"/>
      <c r="W44"/>
      <c r="X44"/>
      <c r="Y44"/>
    </row>
    <row r="45" spans="1:25" ht="14.5" x14ac:dyDescent="0.35">
      <c r="A45" s="2" t="s">
        <v>481</v>
      </c>
      <c r="B45" s="11">
        <v>26842.799999999999</v>
      </c>
      <c r="C45" s="52">
        <v>-0.32963216011042068</v>
      </c>
      <c r="D45" s="53">
        <v>6.25</v>
      </c>
      <c r="E45" s="54">
        <f t="shared" si="1"/>
        <v>6.8525576755263939E-2</v>
      </c>
      <c r="F45" s="54">
        <f t="shared" si="2"/>
        <v>3.3826956036126218E-2</v>
      </c>
      <c r="G45" s="54">
        <v>5.1254588991959922E-3</v>
      </c>
      <c r="H45" s="42">
        <f t="shared" si="3"/>
        <v>26097.579977588175</v>
      </c>
      <c r="I45" s="57">
        <f t="shared" si="4"/>
        <v>2.7762380318440111E-2</v>
      </c>
      <c r="J45" s="57">
        <f t="shared" si="0"/>
        <v>7.7074976094571078E-4</v>
      </c>
      <c r="K45" s="57">
        <f t="shared" si="5"/>
        <v>-2.7762380318440111E-2</v>
      </c>
      <c r="Q45" s="58">
        <v>21</v>
      </c>
      <c r="R45" s="58">
        <v>-1.9021434283529644E-2</v>
      </c>
      <c r="S45" s="61">
        <v>-2.958170249423563E-2</v>
      </c>
      <c r="T45" s="40"/>
      <c r="U45" s="40"/>
      <c r="V45" s="40"/>
      <c r="W45"/>
      <c r="X45"/>
      <c r="Y45"/>
    </row>
    <row r="46" spans="1:25" ht="14.5" x14ac:dyDescent="0.35">
      <c r="A46" s="2" t="s">
        <v>482</v>
      </c>
      <c r="B46" s="11">
        <v>27240.5</v>
      </c>
      <c r="C46" s="52">
        <v>-0.32881339712918672</v>
      </c>
      <c r="D46" s="53">
        <v>6.25</v>
      </c>
      <c r="E46" s="54">
        <f t="shared" si="1"/>
        <v>6.6013924727155837E-2</v>
      </c>
      <c r="F46" s="54">
        <f t="shared" si="2"/>
        <v>1.4815891039682921E-2</v>
      </c>
      <c r="G46" s="54">
        <v>4.920643796012307E-3</v>
      </c>
      <c r="H46" s="42">
        <f t="shared" si="3"/>
        <v>26974.883857287597</v>
      </c>
      <c r="I46" s="57">
        <f t="shared" si="4"/>
        <v>9.7507807386943163E-3</v>
      </c>
      <c r="J46" s="57">
        <f t="shared" si="0"/>
        <v>9.5077725014092082E-5</v>
      </c>
      <c r="K46" s="57">
        <f t="shared" si="5"/>
        <v>-9.7507807386943163E-3</v>
      </c>
      <c r="Q46" s="58">
        <v>22</v>
      </c>
      <c r="R46" s="58">
        <v>-9.6895877950502023E-3</v>
      </c>
      <c r="S46" s="61">
        <v>2.4929902741379899E-2</v>
      </c>
      <c r="T46" s="40"/>
      <c r="U46" s="40"/>
      <c r="V46" s="40"/>
      <c r="W46"/>
      <c r="X46"/>
      <c r="Y46"/>
    </row>
    <row r="47" spans="1:25" ht="14.5" x14ac:dyDescent="0.35">
      <c r="A47" s="2" t="s">
        <v>483</v>
      </c>
      <c r="B47" s="11">
        <v>28083.3</v>
      </c>
      <c r="C47" s="52">
        <v>-0.32828643578643601</v>
      </c>
      <c r="D47" s="53">
        <v>6.25</v>
      </c>
      <c r="E47" s="54">
        <f t="shared" si="1"/>
        <v>6.6005167805835097E-2</v>
      </c>
      <c r="F47" s="54">
        <f t="shared" si="2"/>
        <v>3.093922651933699E-2</v>
      </c>
      <c r="G47" s="54">
        <v>5.103304153135097E-3</v>
      </c>
      <c r="H47" s="42">
        <f t="shared" si="3"/>
        <v>27379.516556783481</v>
      </c>
      <c r="I47" s="57">
        <f t="shared" si="4"/>
        <v>2.5060567782864487E-2</v>
      </c>
      <c r="J47" s="57">
        <f t="shared" si="0"/>
        <v>6.2803205759954552E-4</v>
      </c>
      <c r="K47" s="57">
        <f t="shared" si="5"/>
        <v>-2.5060567782864487E-2</v>
      </c>
      <c r="Q47" s="58">
        <v>23</v>
      </c>
      <c r="R47" s="58">
        <v>-7.435342057196908E-3</v>
      </c>
      <c r="S47" s="61">
        <v>3.126074911649393E-2</v>
      </c>
      <c r="T47" s="40"/>
      <c r="U47" s="40"/>
      <c r="V47" s="40"/>
      <c r="W47"/>
      <c r="X47"/>
      <c r="Y47"/>
    </row>
    <row r="48" spans="1:25" ht="14.5" x14ac:dyDescent="0.35">
      <c r="A48" s="2" t="s">
        <v>484</v>
      </c>
      <c r="B48" s="11">
        <v>26819.5</v>
      </c>
      <c r="C48" s="52">
        <v>-0.32524163059163069</v>
      </c>
      <c r="D48" s="53">
        <v>6.25</v>
      </c>
      <c r="E48" s="54">
        <f t="shared" si="1"/>
        <v>6.599953186867169E-2</v>
      </c>
      <c r="F48" s="54">
        <f t="shared" si="2"/>
        <v>-4.5001833830069803E-2</v>
      </c>
      <c r="G48" s="54">
        <v>5.1185328099442188E-3</v>
      </c>
      <c r="H48" s="42">
        <f t="shared" si="3"/>
        <v>28227.045292461502</v>
      </c>
      <c r="I48" s="57">
        <f t="shared" si="4"/>
        <v>5.2482160087305954E-2</v>
      </c>
      <c r="J48" s="57">
        <f t="shared" si="0"/>
        <v>2.75437712742961E-3</v>
      </c>
      <c r="K48" s="57">
        <f t="shared" si="5"/>
        <v>5.2482160087305954E-2</v>
      </c>
      <c r="Q48" s="58">
        <v>24</v>
      </c>
      <c r="R48" s="58">
        <v>-4.4841519699356479E-3</v>
      </c>
      <c r="S48" s="61">
        <v>-1.9187222520454541E-2</v>
      </c>
      <c r="T48" s="40"/>
      <c r="U48" s="40"/>
      <c r="V48" s="40"/>
      <c r="W48"/>
      <c r="X48"/>
      <c r="Y48"/>
    </row>
    <row r="49" spans="1:25" ht="14.5" x14ac:dyDescent="0.35">
      <c r="A49" s="2" t="s">
        <v>485</v>
      </c>
      <c r="B49" s="11">
        <v>27075.7</v>
      </c>
      <c r="C49" s="52">
        <v>-0.31952575757575769</v>
      </c>
      <c r="D49" s="53">
        <v>6.25</v>
      </c>
      <c r="E49" s="54">
        <f t="shared" si="1"/>
        <v>6.5966968349427946E-2</v>
      </c>
      <c r="F49" s="54">
        <f t="shared" si="2"/>
        <v>9.5527507969947519E-3</v>
      </c>
      <c r="G49" s="54">
        <v>4.6042033370956217E-3</v>
      </c>
      <c r="H49" s="42">
        <f t="shared" si="3"/>
        <v>26942.982431399236</v>
      </c>
      <c r="I49" s="57">
        <f t="shared" si="4"/>
        <v>4.9017225261309928E-3</v>
      </c>
      <c r="J49" s="57">
        <f t="shared" si="0"/>
        <v>2.4026883723180002E-5</v>
      </c>
      <c r="K49" s="57">
        <f t="shared" si="5"/>
        <v>-4.9017225261309928E-3</v>
      </c>
      <c r="Q49" s="58">
        <v>25</v>
      </c>
      <c r="R49" s="58">
        <v>-8.2566811457559022E-4</v>
      </c>
      <c r="S49" s="61">
        <v>2.7527927852027009E-2</v>
      </c>
      <c r="T49" s="40"/>
      <c r="U49" s="40"/>
      <c r="V49" s="40"/>
      <c r="W49"/>
      <c r="X49"/>
      <c r="Y49"/>
    </row>
    <row r="50" spans="1:25" ht="14.5" x14ac:dyDescent="0.35">
      <c r="A50" s="2" t="s">
        <v>486</v>
      </c>
      <c r="B50" s="11">
        <v>26596.6</v>
      </c>
      <c r="C50" s="52">
        <v>-0.31531800845988472</v>
      </c>
      <c r="D50" s="53">
        <v>6.25</v>
      </c>
      <c r="E50" s="54">
        <f t="shared" si="1"/>
        <v>6.5905843722197543E-2</v>
      </c>
      <c r="F50" s="54">
        <f t="shared" si="2"/>
        <v>-1.7694833374575808E-2</v>
      </c>
      <c r="G50" s="54">
        <v>4.8945808403439619E-3</v>
      </c>
      <c r="H50" s="42">
        <f t="shared" si="3"/>
        <v>27208.224202458903</v>
      </c>
      <c r="I50" s="57">
        <f t="shared" si="4"/>
        <v>2.2996330450467527E-2</v>
      </c>
      <c r="J50" s="57">
        <f t="shared" si="0"/>
        <v>5.2883121418710003E-4</v>
      </c>
      <c r="K50" s="57">
        <f t="shared" si="5"/>
        <v>2.2996330450467527E-2</v>
      </c>
      <c r="Q50" s="58">
        <v>26</v>
      </c>
      <c r="R50" s="58">
        <v>2.751224501838883E-3</v>
      </c>
      <c r="S50" s="61">
        <v>3.414701392592788E-2</v>
      </c>
      <c r="T50" s="40"/>
      <c r="U50" s="40"/>
      <c r="V50" s="40"/>
      <c r="W50"/>
      <c r="X50"/>
      <c r="Y50"/>
    </row>
    <row r="51" spans="1:25" ht="14.5" x14ac:dyDescent="0.35">
      <c r="A51" s="2" t="s">
        <v>487</v>
      </c>
      <c r="B51" s="11">
        <v>26026.799999999999</v>
      </c>
      <c r="C51" s="52">
        <v>-0.30854682539682532</v>
      </c>
      <c r="D51" s="53">
        <v>6.25</v>
      </c>
      <c r="E51" s="54">
        <f t="shared" si="1"/>
        <v>6.5860851208985771E-2</v>
      </c>
      <c r="F51" s="54">
        <f t="shared" si="2"/>
        <v>-2.1423791010881064E-2</v>
      </c>
      <c r="G51" s="54">
        <v>5.0379167301960936E-3</v>
      </c>
      <c r="H51" s="42">
        <f t="shared" si="3"/>
        <v>26730.591456106333</v>
      </c>
      <c r="I51" s="57">
        <f t="shared" si="4"/>
        <v>2.70410290971742E-2</v>
      </c>
      <c r="J51" s="57">
        <f t="shared" si="0"/>
        <v>7.3121725463422174E-4</v>
      </c>
      <c r="K51" s="57">
        <f t="shared" si="5"/>
        <v>2.70410290971742E-2</v>
      </c>
      <c r="Q51" s="58">
        <v>27</v>
      </c>
      <c r="R51" s="58">
        <v>2.8153878229391881E-3</v>
      </c>
      <c r="S51" s="61">
        <v>1.1669447926868144E-2</v>
      </c>
      <c r="T51" s="40"/>
      <c r="U51" s="40"/>
      <c r="V51" s="40"/>
      <c r="W51"/>
      <c r="X51"/>
      <c r="Y51"/>
    </row>
    <row r="52" spans="1:25" ht="14.5" x14ac:dyDescent="0.35">
      <c r="A52" s="2" t="s">
        <v>488</v>
      </c>
      <c r="B52" s="11">
        <v>26487.4</v>
      </c>
      <c r="C52" s="52">
        <v>-0.31707121212121203</v>
      </c>
      <c r="D52" s="53">
        <v>6.25</v>
      </c>
      <c r="E52" s="54">
        <f t="shared" si="1"/>
        <v>6.5788456447815502E-2</v>
      </c>
      <c r="F52" s="54">
        <f t="shared" si="2"/>
        <v>1.7697142944964505E-2</v>
      </c>
      <c r="G52" s="54">
        <v>5.1037775451449538E-3</v>
      </c>
      <c r="H52" s="42">
        <f t="shared" si="3"/>
        <v>26159.63499741198</v>
      </c>
      <c r="I52" s="57">
        <f t="shared" si="4"/>
        <v>1.2374374328473959E-2</v>
      </c>
      <c r="J52" s="57">
        <f t="shared" si="0"/>
        <v>1.5312514002119534E-4</v>
      </c>
      <c r="K52" s="57">
        <f t="shared" si="5"/>
        <v>-1.2374374328473959E-2</v>
      </c>
      <c r="Q52" s="58">
        <v>28</v>
      </c>
      <c r="R52" s="58">
        <v>2.8821075890233597E-3</v>
      </c>
      <c r="S52" s="61">
        <v>-1.0628336415786032E-3</v>
      </c>
      <c r="T52" s="40"/>
      <c r="U52" s="40"/>
      <c r="V52" s="40"/>
      <c r="W52"/>
      <c r="X52"/>
      <c r="Y52"/>
    </row>
    <row r="53" spans="1:25" ht="14.5" x14ac:dyDescent="0.35">
      <c r="A53" s="2" t="s">
        <v>489</v>
      </c>
      <c r="B53" s="11">
        <v>25283.4</v>
      </c>
      <c r="C53" s="52">
        <v>-0.39670760399021271</v>
      </c>
      <c r="D53" s="53">
        <v>6</v>
      </c>
      <c r="E53" s="54">
        <f t="shared" si="1"/>
        <v>6.5879597359099096E-2</v>
      </c>
      <c r="F53" s="54">
        <f t="shared" si="2"/>
        <v>-4.5455575103634176E-2</v>
      </c>
      <c r="G53" s="54">
        <v>5.2657722909149954E-3</v>
      </c>
      <c r="H53" s="42">
        <f t="shared" si="3"/>
        <v>26626.876616978385</v>
      </c>
      <c r="I53" s="57">
        <f t="shared" si="4"/>
        <v>5.3136706968935479E-2</v>
      </c>
      <c r="J53" s="57">
        <f t="shared" si="0"/>
        <v>2.8235096275025162E-3</v>
      </c>
      <c r="K53" s="57">
        <f t="shared" si="5"/>
        <v>5.3136706968935479E-2</v>
      </c>
      <c r="Q53" s="58">
        <v>29</v>
      </c>
      <c r="R53" s="58">
        <v>4.8859797262027563E-3</v>
      </c>
      <c r="S53" s="61">
        <v>-1.0082509426912779E-5</v>
      </c>
      <c r="T53" s="40"/>
      <c r="U53" s="40"/>
      <c r="V53" s="40"/>
      <c r="W53"/>
      <c r="X53"/>
      <c r="Y53"/>
    </row>
    <row r="54" spans="1:25" ht="14.5" x14ac:dyDescent="0.35">
      <c r="A54" s="2" t="s">
        <v>490</v>
      </c>
      <c r="B54" s="11">
        <v>25974.7</v>
      </c>
      <c r="C54" s="52">
        <v>-0.40295175983436837</v>
      </c>
      <c r="D54" s="53">
        <v>6</v>
      </c>
      <c r="E54" s="54">
        <f t="shared" si="1"/>
        <v>6.4221848998301523E-2</v>
      </c>
      <c r="F54" s="54">
        <f t="shared" si="2"/>
        <v>2.7342050515357874E-2</v>
      </c>
      <c r="G54" s="54">
        <v>5.1454523853071716E-3</v>
      </c>
      <c r="H54" s="42">
        <f t="shared" si="3"/>
        <v>25413.494530838678</v>
      </c>
      <c r="I54" s="57">
        <f t="shared" si="4"/>
        <v>2.1605849890906265E-2</v>
      </c>
      <c r="J54" s="57">
        <f t="shared" si="0"/>
        <v>4.668127495083743E-4</v>
      </c>
      <c r="K54" s="57">
        <f t="shared" si="5"/>
        <v>-2.1605849890906265E-2</v>
      </c>
      <c r="Q54" s="58">
        <v>30</v>
      </c>
      <c r="R54" s="58">
        <v>4.8990371243811497E-3</v>
      </c>
      <c r="S54" s="61">
        <v>-8.7736859206694343E-2</v>
      </c>
      <c r="T54" s="40"/>
      <c r="U54" s="40"/>
      <c r="V54" s="40"/>
      <c r="W54"/>
      <c r="X54"/>
      <c r="Y54"/>
    </row>
    <row r="55" spans="1:25" ht="14.5" x14ac:dyDescent="0.35">
      <c r="A55" s="2" t="s">
        <v>491</v>
      </c>
      <c r="B55" s="11">
        <v>26046.1</v>
      </c>
      <c r="C55" s="52">
        <v>-0.40554090909090929</v>
      </c>
      <c r="D55" s="53">
        <v>5</v>
      </c>
      <c r="E55" s="54">
        <f t="shared" si="1"/>
        <v>6.4288569520599248E-2</v>
      </c>
      <c r="F55" s="54">
        <f t="shared" si="2"/>
        <v>2.7488286678959838E-3</v>
      </c>
      <c r="G55" s="54">
        <v>4.1321877841325391E-3</v>
      </c>
      <c r="H55" s="42">
        <f t="shared" si="3"/>
        <v>26082.032338036508</v>
      </c>
      <c r="I55" s="57">
        <f t="shared" si="4"/>
        <v>1.37956692312897E-3</v>
      </c>
      <c r="J55" s="57">
        <f t="shared" si="0"/>
        <v>1.9032048953915335E-6</v>
      </c>
      <c r="K55" s="57">
        <f t="shared" si="5"/>
        <v>1.37956692312897E-3</v>
      </c>
      <c r="Q55" s="58">
        <v>31</v>
      </c>
      <c r="R55" s="58">
        <v>4.3872674089420298E-3</v>
      </c>
      <c r="S55" s="61">
        <v>-3.7842612300346731E-2</v>
      </c>
      <c r="T55" s="40"/>
      <c r="U55" s="40"/>
      <c r="V55" s="40"/>
      <c r="W55"/>
      <c r="X55"/>
      <c r="Y55"/>
    </row>
    <row r="56" spans="1:25" ht="14.5" x14ac:dyDescent="0.35">
      <c r="A56" s="2" t="s">
        <v>492</v>
      </c>
      <c r="B56" s="11">
        <v>26060.400000000001</v>
      </c>
      <c r="C56" s="52">
        <v>-0.30066666666666669</v>
      </c>
      <c r="D56" s="53">
        <v>4.5</v>
      </c>
      <c r="E56" s="54">
        <f t="shared" si="1"/>
        <v>5.4275518522137522E-2</v>
      </c>
      <c r="F56" s="54">
        <f t="shared" si="2"/>
        <v>5.4902653372301076E-4</v>
      </c>
      <c r="G56" s="54">
        <v>4.0232511156911097E-3</v>
      </c>
      <c r="H56" s="42">
        <f t="shared" si="3"/>
        <v>26150.890000884399</v>
      </c>
      <c r="I56" s="57">
        <f t="shared" si="4"/>
        <v>3.4723181871497708E-3</v>
      </c>
      <c r="J56" s="57">
        <f t="shared" si="0"/>
        <v>1.2056993592811071E-5</v>
      </c>
      <c r="K56" s="57">
        <f t="shared" si="5"/>
        <v>3.4723181871497708E-3</v>
      </c>
      <c r="Q56" s="58">
        <v>32</v>
      </c>
      <c r="R56" s="58">
        <v>4.0692500088461009E-3</v>
      </c>
      <c r="S56" s="61">
        <v>-0.11084531156087635</v>
      </c>
      <c r="T56" s="40"/>
      <c r="U56" s="40"/>
      <c r="V56" s="40"/>
      <c r="W56"/>
      <c r="X56"/>
      <c r="Y56"/>
    </row>
    <row r="57" spans="1:25" ht="14.5" x14ac:dyDescent="0.35">
      <c r="A57" s="2" t="s">
        <v>493</v>
      </c>
      <c r="B57" s="11">
        <v>27163.5</v>
      </c>
      <c r="C57" s="52">
        <v>-0.47173611895351031</v>
      </c>
      <c r="D57" s="53">
        <v>4</v>
      </c>
      <c r="E57" s="54">
        <f t="shared" si="1"/>
        <v>4.8151442002286826E-2</v>
      </c>
      <c r="F57" s="54">
        <f t="shared" si="2"/>
        <v>4.232859050513417E-2</v>
      </c>
      <c r="G57" s="54">
        <v>4.5130226413122405E-3</v>
      </c>
      <c r="H57" s="42">
        <f t="shared" si="3"/>
        <v>26178.011175241652</v>
      </c>
      <c r="I57" s="57">
        <f t="shared" si="4"/>
        <v>3.6279891205417109E-2</v>
      </c>
      <c r="J57" s="57">
        <f t="shared" si="0"/>
        <v>1.3162305058769016E-3</v>
      </c>
      <c r="K57" s="57">
        <f t="shared" si="5"/>
        <v>-3.6279891205417109E-2</v>
      </c>
      <c r="Q57" s="58">
        <v>33</v>
      </c>
      <c r="R57" s="58">
        <v>3.9334015002730552E-3</v>
      </c>
      <c r="S57" s="61">
        <v>4.683096556914796E-2</v>
      </c>
      <c r="T57" s="40"/>
      <c r="U57" s="40"/>
      <c r="V57" s="40"/>
      <c r="W57"/>
      <c r="X57"/>
      <c r="Y57"/>
    </row>
    <row r="58" spans="1:25" ht="14.5" x14ac:dyDescent="0.35">
      <c r="A58" s="2" t="s">
        <v>494</v>
      </c>
      <c r="B58" s="11">
        <v>28175.4</v>
      </c>
      <c r="C58" s="52">
        <v>-0.52269480519480538</v>
      </c>
      <c r="D58" s="53">
        <v>4</v>
      </c>
      <c r="E58" s="54">
        <f t="shared" si="1"/>
        <v>4.4929308967933235E-2</v>
      </c>
      <c r="F58" s="54">
        <f t="shared" si="2"/>
        <v>3.7252195041139816E-2</v>
      </c>
      <c r="G58" s="54">
        <v>4.3527612062570324E-3</v>
      </c>
      <c r="H58" s="42">
        <f t="shared" si="3"/>
        <v>27281.736229026163</v>
      </c>
      <c r="I58" s="57">
        <f t="shared" si="4"/>
        <v>3.1717873427665223E-2</v>
      </c>
      <c r="J58" s="57">
        <f t="shared" si="0"/>
        <v>1.0060234947733917E-3</v>
      </c>
      <c r="K58" s="57">
        <f t="shared" si="5"/>
        <v>-3.1717873427665223E-2</v>
      </c>
      <c r="Q58" s="58">
        <v>34</v>
      </c>
      <c r="R58" s="58">
        <v>3.7319056479802985E-3</v>
      </c>
      <c r="S58" s="61">
        <v>3.1502523446285818E-2</v>
      </c>
      <c r="T58" s="40"/>
      <c r="U58" s="40"/>
      <c r="V58" s="40"/>
      <c r="W58"/>
      <c r="X58"/>
      <c r="Y58"/>
    </row>
    <row r="59" spans="1:25" ht="14.5" x14ac:dyDescent="0.35">
      <c r="A59" s="2" t="s">
        <v>495</v>
      </c>
      <c r="B59" s="11">
        <v>27061.200000000001</v>
      </c>
      <c r="C59" s="52">
        <v>-0.54244565217391294</v>
      </c>
      <c r="D59" s="53">
        <v>4</v>
      </c>
      <c r="E59" s="54">
        <f t="shared" si="1"/>
        <v>4.5464589097363062E-2</v>
      </c>
      <c r="F59" s="54">
        <f t="shared" si="2"/>
        <v>-3.95451351178688E-2</v>
      </c>
      <c r="G59" s="54">
        <v>5.3994896273457226E-3</v>
      </c>
      <c r="H59" s="42">
        <f t="shared" si="3"/>
        <v>28327.532780046316</v>
      </c>
      <c r="I59" s="57">
        <f t="shared" si="4"/>
        <v>4.6795145080274179E-2</v>
      </c>
      <c r="J59" s="57">
        <f t="shared" si="0"/>
        <v>2.1897856030839088E-3</v>
      </c>
      <c r="K59" s="57">
        <f t="shared" si="5"/>
        <v>4.6795145080274179E-2</v>
      </c>
      <c r="Q59" s="58">
        <v>35</v>
      </c>
      <c r="R59" s="58">
        <v>3.6501945148095342E-3</v>
      </c>
      <c r="S59" s="61">
        <v>-3.1709641686371054E-2</v>
      </c>
      <c r="T59" s="40"/>
      <c r="U59" s="40"/>
      <c r="V59" s="40"/>
      <c r="W59"/>
      <c r="X59"/>
      <c r="Y59"/>
    </row>
    <row r="60" spans="1:25" ht="14.5" x14ac:dyDescent="0.35">
      <c r="A60" s="2" t="s">
        <v>496</v>
      </c>
      <c r="B60" s="11">
        <v>27283.1</v>
      </c>
      <c r="C60" s="52">
        <v>-0.54038477633477633</v>
      </c>
      <c r="D60" s="53">
        <v>4</v>
      </c>
      <c r="E60" s="54">
        <f t="shared" si="1"/>
        <v>4.5672203403352762E-2</v>
      </c>
      <c r="F60" s="54">
        <f t="shared" si="2"/>
        <v>8.1999320059715688E-3</v>
      </c>
      <c r="G60" s="54">
        <v>5.635018058596575E-3</v>
      </c>
      <c r="H60" s="42">
        <f t="shared" si="3"/>
        <v>27213.690350687299</v>
      </c>
      <c r="I60" s="57">
        <f t="shared" si="4"/>
        <v>2.5440528866844279E-3</v>
      </c>
      <c r="J60" s="57">
        <f t="shared" si="0"/>
        <v>6.472205090247371E-6</v>
      </c>
      <c r="K60" s="57">
        <f t="shared" si="5"/>
        <v>-2.5440528866844279E-3</v>
      </c>
      <c r="Q60" s="58">
        <v>36</v>
      </c>
      <c r="R60" s="58">
        <v>3.4145174789281876E-3</v>
      </c>
      <c r="S60" s="61">
        <v>3.5240641799006413E-2</v>
      </c>
      <c r="T60" s="40"/>
      <c r="U60" s="40"/>
      <c r="V60" s="40"/>
      <c r="W60"/>
      <c r="X60"/>
      <c r="Y60"/>
    </row>
    <row r="61" spans="1:25" ht="14.5" x14ac:dyDescent="0.35">
      <c r="A61" s="2" t="s">
        <v>497</v>
      </c>
      <c r="B61" s="11">
        <v>26346.799999999999</v>
      </c>
      <c r="C61" s="52">
        <v>-0.54581818181818165</v>
      </c>
      <c r="D61" s="53">
        <v>4</v>
      </c>
      <c r="E61" s="54">
        <f t="shared" si="1"/>
        <v>4.565053631189242E-2</v>
      </c>
      <c r="F61" s="54">
        <f t="shared" si="2"/>
        <v>-3.4317947740542656E-2</v>
      </c>
      <c r="G61" s="54">
        <v>5.3997878500115165E-3</v>
      </c>
      <c r="H61" s="42">
        <f t="shared" si="3"/>
        <v>27430.42295189065</v>
      </c>
      <c r="I61" s="57">
        <f t="shared" si="4"/>
        <v>4.1129205516064617E-2</v>
      </c>
      <c r="J61" s="57">
        <f t="shared" si="0"/>
        <v>1.6916115463826802E-3</v>
      </c>
      <c r="K61" s="57">
        <f t="shared" si="5"/>
        <v>4.1129205516064617E-2</v>
      </c>
      <c r="Q61" s="58">
        <v>37</v>
      </c>
      <c r="R61" s="58">
        <v>3.0417168345787948E-3</v>
      </c>
      <c r="S61" s="61">
        <v>-2.6376496185448406E-2</v>
      </c>
      <c r="T61" s="40"/>
      <c r="U61" s="40"/>
      <c r="V61" s="40"/>
      <c r="W61"/>
      <c r="X61"/>
      <c r="Y61"/>
    </row>
    <row r="62" spans="1:25" ht="14.5" x14ac:dyDescent="0.35">
      <c r="A62" s="2" t="s">
        <v>498</v>
      </c>
      <c r="B62" s="11">
        <v>25947.5</v>
      </c>
      <c r="C62" s="52">
        <v>-0.56637656063742992</v>
      </c>
      <c r="D62" s="53">
        <v>4</v>
      </c>
      <c r="E62" s="54">
        <f t="shared" si="1"/>
        <v>4.5707662550868555E-2</v>
      </c>
      <c r="F62" s="54">
        <f t="shared" si="2"/>
        <v>-1.5155540710826336E-2</v>
      </c>
      <c r="G62" s="54">
        <v>6.0680640669493373E-3</v>
      </c>
      <c r="H62" s="42">
        <f t="shared" si="3"/>
        <v>26506.674070359099</v>
      </c>
      <c r="I62" s="57">
        <f t="shared" si="4"/>
        <v>2.1550209860645479E-2</v>
      </c>
      <c r="J62" s="57">
        <f t="shared" si="0"/>
        <v>4.6441154503786165E-4</v>
      </c>
      <c r="K62" s="57">
        <f t="shared" si="5"/>
        <v>2.1550209860645479E-2</v>
      </c>
      <c r="Q62" s="58">
        <v>38</v>
      </c>
      <c r="R62" s="58">
        <v>2.7642140296175802E-3</v>
      </c>
      <c r="S62" s="61">
        <v>9.3010547133412884E-3</v>
      </c>
      <c r="T62" s="40"/>
      <c r="U62" s="40"/>
      <c r="V62" s="40"/>
      <c r="W62"/>
      <c r="X62"/>
      <c r="Y62"/>
    </row>
    <row r="63" spans="1:25" ht="14.5" x14ac:dyDescent="0.35">
      <c r="A63" s="2" t="s">
        <v>499</v>
      </c>
      <c r="B63" s="11">
        <v>25270.3</v>
      </c>
      <c r="C63" s="52">
        <v>-0.52902587993385097</v>
      </c>
      <c r="D63" s="53">
        <v>4</v>
      </c>
      <c r="E63" s="54">
        <f t="shared" si="1"/>
        <v>4.5923867628359538E-2</v>
      </c>
      <c r="F63" s="54">
        <f t="shared" si="2"/>
        <v>-2.6098853454090017E-2</v>
      </c>
      <c r="G63" s="54">
        <v>6.7197109091116404E-3</v>
      </c>
      <c r="H63" s="42">
        <f t="shared" si="3"/>
        <v>26121.859698814176</v>
      </c>
      <c r="I63" s="57">
        <f t="shared" si="4"/>
        <v>3.3698044693342658E-2</v>
      </c>
      <c r="J63" s="57">
        <f t="shared" si="0"/>
        <v>1.1355582161545193E-3</v>
      </c>
      <c r="K63" s="57">
        <f t="shared" si="5"/>
        <v>3.3698044693342658E-2</v>
      </c>
      <c r="Q63" s="58">
        <v>39</v>
      </c>
      <c r="R63" s="58">
        <v>2.6097746931967938E-3</v>
      </c>
      <c r="S63" s="61">
        <v>-4.7534587473228793E-2</v>
      </c>
      <c r="T63" s="40"/>
      <c r="U63" s="40"/>
      <c r="V63" s="40"/>
      <c r="W63"/>
      <c r="X63"/>
      <c r="Y63"/>
    </row>
    <row r="64" spans="1:25" ht="14.5" x14ac:dyDescent="0.35">
      <c r="A64" s="2" t="s">
        <v>500</v>
      </c>
      <c r="B64" s="11">
        <v>24375.9</v>
      </c>
      <c r="C64" s="52">
        <v>-0.35761642743221705</v>
      </c>
      <c r="D64" s="53">
        <v>4</v>
      </c>
      <c r="E64" s="54">
        <f t="shared" si="1"/>
        <v>4.5531130261850183E-2</v>
      </c>
      <c r="F64" s="54">
        <f t="shared" si="2"/>
        <v>-3.5393327344748496E-2</v>
      </c>
      <c r="G64" s="54">
        <v>7.3212094552930415E-3</v>
      </c>
      <c r="H64" s="42">
        <f t="shared" si="3"/>
        <v>25455.309159298089</v>
      </c>
      <c r="I64" s="57">
        <f t="shared" si="4"/>
        <v>4.4281817668192253E-2</v>
      </c>
      <c r="J64" s="57">
        <f t="shared" si="0"/>
        <v>1.9608793759990236E-3</v>
      </c>
      <c r="K64" s="57">
        <f t="shared" si="5"/>
        <v>4.4281817668192253E-2</v>
      </c>
      <c r="Q64" s="58">
        <v>40</v>
      </c>
      <c r="R64" s="58">
        <v>2.5543629582833113E-3</v>
      </c>
      <c r="S64" s="61">
        <v>9.6813616815169014E-3</v>
      </c>
      <c r="T64" s="40"/>
      <c r="U64" s="40"/>
      <c r="V64" s="40"/>
      <c r="W64"/>
      <c r="X64"/>
      <c r="Y64"/>
    </row>
    <row r="65" spans="1:25" ht="14.5" x14ac:dyDescent="0.35">
      <c r="A65" s="2" t="s">
        <v>501</v>
      </c>
      <c r="B65" s="11">
        <v>23375.5</v>
      </c>
      <c r="C65" s="52">
        <v>0.48074060480582359</v>
      </c>
      <c r="D65" s="53">
        <v>5</v>
      </c>
      <c r="E65" s="54">
        <f t="shared" si="1"/>
        <v>4.3732559089763701E-2</v>
      </c>
      <c r="F65" s="54">
        <f t="shared" si="2"/>
        <v>-4.1040535939185892E-2</v>
      </c>
      <c r="G65" s="54">
        <v>7.4174220696910645E-3</v>
      </c>
      <c r="H65" s="42">
        <f t="shared" si="3"/>
        <v>24556.706338628581</v>
      </c>
      <c r="I65" s="57">
        <f t="shared" si="4"/>
        <v>5.0531810597787462E-2</v>
      </c>
      <c r="J65" s="57">
        <f t="shared" si="0"/>
        <v>2.5534638822906652E-3</v>
      </c>
      <c r="K65" s="57">
        <f t="shared" si="5"/>
        <v>5.0531810597787462E-2</v>
      </c>
      <c r="Q65" s="58">
        <v>41</v>
      </c>
      <c r="R65" s="58">
        <v>2.4950949285557494E-3</v>
      </c>
      <c r="S65" s="61">
        <v>6.9045493573775971E-2</v>
      </c>
      <c r="T65" s="40"/>
      <c r="U65" s="40"/>
      <c r="V65" s="40"/>
      <c r="W65"/>
      <c r="X65"/>
      <c r="Y65"/>
    </row>
    <row r="66" spans="1:25" ht="14.5" x14ac:dyDescent="0.35">
      <c r="A66" s="2" t="s">
        <v>502</v>
      </c>
      <c r="B66" s="11">
        <v>25267.4</v>
      </c>
      <c r="C66" s="52">
        <v>1.7721233766233766</v>
      </c>
      <c r="D66" s="53">
        <v>6</v>
      </c>
      <c r="E66" s="54">
        <f t="shared" si="1"/>
        <v>4.497637425831269E-2</v>
      </c>
      <c r="F66" s="54">
        <f t="shared" si="2"/>
        <v>8.0935167162199798E-2</v>
      </c>
      <c r="G66" s="54">
        <v>7.6118167698310726E-3</v>
      </c>
      <c r="H66" s="42">
        <f t="shared" si="3"/>
        <v>23553.430022903187</v>
      </c>
      <c r="I66" s="57">
        <f t="shared" si="4"/>
        <v>6.783325459274854E-2</v>
      </c>
      <c r="J66" s="57">
        <f t="shared" si="0"/>
        <v>4.6013504286446412E-3</v>
      </c>
      <c r="K66" s="57">
        <f t="shared" si="5"/>
        <v>-6.783325459274854E-2</v>
      </c>
      <c r="Q66" s="58">
        <v>42</v>
      </c>
      <c r="R66" s="58">
        <v>2.4869205383378397E-3</v>
      </c>
      <c r="S66" s="61">
        <v>3.1340035497788382E-2</v>
      </c>
      <c r="T66" s="40"/>
      <c r="U66" s="40"/>
      <c r="V66" s="40"/>
      <c r="W66"/>
      <c r="X66"/>
      <c r="Y66"/>
    </row>
    <row r="67" spans="1:25" ht="14.5" x14ac:dyDescent="0.35">
      <c r="A67" s="2" t="s">
        <v>503</v>
      </c>
      <c r="B67" s="11">
        <v>25417.5</v>
      </c>
      <c r="C67" s="52">
        <v>2.631926284584984</v>
      </c>
      <c r="D67" s="53">
        <v>6</v>
      </c>
      <c r="E67" s="54">
        <f t="shared" si="1"/>
        <v>4.1542580454283273E-2</v>
      </c>
      <c r="F67" s="54">
        <f t="shared" si="2"/>
        <v>5.9404608309520778E-3</v>
      </c>
      <c r="G67" s="54">
        <v>7.1761017888278527E-3</v>
      </c>
      <c r="H67" s="42">
        <f t="shared" si="3"/>
        <v>25448.72143433903</v>
      </c>
      <c r="I67" s="57">
        <f t="shared" si="4"/>
        <v>1.2283440282887638E-3</v>
      </c>
      <c r="J67" s="57">
        <f t="shared" si="0"/>
        <v>1.5088290518326674E-6</v>
      </c>
      <c r="K67" s="57">
        <f t="shared" si="5"/>
        <v>1.2283440282887638E-3</v>
      </c>
      <c r="Q67" s="58">
        <v>43</v>
      </c>
      <c r="R67" s="58">
        <v>3.3916960547382378E-3</v>
      </c>
      <c r="S67" s="61">
        <v>1.1424194984944683E-2</v>
      </c>
      <c r="T67" s="40"/>
      <c r="U67" s="40"/>
      <c r="V67" s="40"/>
      <c r="W67"/>
      <c r="X67"/>
      <c r="Y67"/>
    </row>
    <row r="68" spans="1:25" ht="14.5" x14ac:dyDescent="0.35">
      <c r="A68" s="2" t="s">
        <v>504</v>
      </c>
      <c r="B68" s="11">
        <v>25720.3</v>
      </c>
      <c r="C68" s="52">
        <v>3.3564328063241131</v>
      </c>
      <c r="D68" s="53">
        <v>4.5</v>
      </c>
      <c r="E68" s="54">
        <f t="shared" si="1"/>
        <v>3.2817017446167718E-2</v>
      </c>
      <c r="F68" s="54">
        <f t="shared" si="2"/>
        <v>1.1913052031080919E-2</v>
      </c>
      <c r="G68" s="54">
        <v>6.8254781576208012E-3</v>
      </c>
      <c r="H68" s="42">
        <f t="shared" si="3"/>
        <v>25590.986591071323</v>
      </c>
      <c r="I68" s="57">
        <f t="shared" si="4"/>
        <v>5.0276788734453307E-3</v>
      </c>
      <c r="J68" s="57">
        <f t="shared" ref="J68:J72" si="6">I68^2</f>
        <v>2.5277554854488508E-5</v>
      </c>
      <c r="K68" s="57">
        <f t="shared" si="5"/>
        <v>-5.0276788734453307E-3</v>
      </c>
      <c r="Q68" s="58">
        <v>44</v>
      </c>
      <c r="R68" s="58">
        <v>3.3948505713358307E-3</v>
      </c>
      <c r="S68" s="61">
        <v>2.754437594800116E-2</v>
      </c>
      <c r="T68" s="40"/>
      <c r="U68" s="40"/>
      <c r="V68" s="40"/>
      <c r="W68"/>
      <c r="X68"/>
      <c r="Y68"/>
    </row>
    <row r="69" spans="1:25" ht="14.5" x14ac:dyDescent="0.35">
      <c r="A69" s="2" t="s">
        <v>505</v>
      </c>
      <c r="B69" s="11">
        <v>25664</v>
      </c>
      <c r="C69" s="52">
        <v>3.7773871635610767</v>
      </c>
      <c r="D69" s="53">
        <v>4.5</v>
      </c>
      <c r="E69" s="54">
        <f>((1+D68%)/(1+C68%))-1</f>
        <v>1.1064305942318775E-2</v>
      </c>
      <c r="F69" s="54">
        <f t="shared" ref="F69:F72" si="7">(B69-B68)/B68</f>
        <v>-2.1889324774594103E-3</v>
      </c>
      <c r="G69" s="54">
        <v>6.8242344277231002E-3</v>
      </c>
      <c r="H69" s="42">
        <f t="shared" ref="H69:H72" si="8">B68*(1+G69)</f>
        <v>25895.821356751367</v>
      </c>
      <c r="I69" s="57">
        <f t="shared" ref="I69:I72" si="9">ABS((H69-B69)/B69)</f>
        <v>9.0329393996012586E-3</v>
      </c>
      <c r="J69" s="57">
        <f t="shared" si="6"/>
        <v>8.1593994196868741E-5</v>
      </c>
      <c r="K69" s="57">
        <f t="shared" ref="K69:K72" si="10">(H69-B69)/B69</f>
        <v>9.0329393996012586E-3</v>
      </c>
      <c r="Q69" s="58">
        <v>45</v>
      </c>
      <c r="R69" s="58">
        <v>3.3968808119505152E-3</v>
      </c>
      <c r="S69" s="61">
        <v>-4.8398714642020321E-2</v>
      </c>
      <c r="T69" s="40"/>
      <c r="U69" s="40"/>
      <c r="V69" s="40"/>
      <c r="W69"/>
      <c r="X69"/>
      <c r="Y69"/>
    </row>
    <row r="70" spans="1:25" ht="14.5" x14ac:dyDescent="0.35">
      <c r="A70" s="7" t="s">
        <v>506</v>
      </c>
      <c r="B70" s="62">
        <v>26773.3</v>
      </c>
      <c r="C70" s="63">
        <v>3.9331</v>
      </c>
      <c r="D70" s="63">
        <v>4.5</v>
      </c>
      <c r="E70" s="64">
        <f>((1+D69%)/(1+C69%))-1</f>
        <v>6.9631049324840877E-3</v>
      </c>
      <c r="F70" s="64">
        <f>(B70-B69)/B69</f>
        <v>4.3223971321695732E-2</v>
      </c>
      <c r="G70" s="64">
        <f>E70*$R$17+$R$16</f>
        <v>2.4663645901164724E-2</v>
      </c>
      <c r="H70" s="42">
        <f t="shared" si="8"/>
        <v>26296.967808407491</v>
      </c>
      <c r="I70" s="65">
        <f>ABS((H70-B70)/B70)</f>
        <v>1.7791314167192988E-2</v>
      </c>
      <c r="J70" s="65">
        <f t="shared" si="6"/>
        <v>3.1653085979576191E-4</v>
      </c>
      <c r="K70" s="65">
        <f t="shared" si="10"/>
        <v>-1.7791314167192988E-2</v>
      </c>
      <c r="Q70" s="58">
        <v>46</v>
      </c>
      <c r="R70" s="58">
        <v>3.4086112087610039E-3</v>
      </c>
      <c r="S70" s="61">
        <v>6.144139588233748E-3</v>
      </c>
      <c r="T70" s="40"/>
      <c r="U70" s="40"/>
      <c r="V70" s="40"/>
      <c r="W70"/>
      <c r="X70"/>
      <c r="Y70"/>
    </row>
    <row r="71" spans="1:25" ht="14.5" x14ac:dyDescent="0.35">
      <c r="A71" s="7" t="s">
        <v>507</v>
      </c>
      <c r="B71" s="62">
        <v>26772.5</v>
      </c>
      <c r="C71" s="63">
        <v>3.9224000000000001</v>
      </c>
      <c r="D71" s="63">
        <v>4.5</v>
      </c>
      <c r="E71" s="64">
        <f t="shared" ref="E71:E72" si="11">((1+D70%)/(1+C70%))-1</f>
        <v>5.4544702313314986E-3</v>
      </c>
      <c r="F71" s="64">
        <f t="shared" si="7"/>
        <v>-2.9880515289458992E-5</v>
      </c>
      <c r="G71" s="64">
        <f>E71*$R$17+$R$16</f>
        <v>2.5207103245382532E-2</v>
      </c>
      <c r="H71" s="42">
        <f t="shared" si="8"/>
        <v>27448.177337319597</v>
      </c>
      <c r="I71" s="65">
        <f t="shared" si="9"/>
        <v>2.5237737877284432E-2</v>
      </c>
      <c r="J71" s="65">
        <f t="shared" si="6"/>
        <v>6.3694341316251728E-4</v>
      </c>
      <c r="K71" s="65">
        <f t="shared" si="10"/>
        <v>2.5237737877284432E-2</v>
      </c>
      <c r="Q71" s="58">
        <v>47</v>
      </c>
      <c r="R71" s="58">
        <v>3.4306302088248086E-3</v>
      </c>
      <c r="S71" s="61">
        <v>-2.1125463583400617E-2</v>
      </c>
      <c r="T71" s="40"/>
      <c r="U71" s="40"/>
      <c r="V71" s="40"/>
      <c r="W71"/>
      <c r="X71"/>
      <c r="Y71"/>
    </row>
    <row r="72" spans="1:25" ht="14.5" x14ac:dyDescent="0.35">
      <c r="A72" s="7" t="s">
        <v>508</v>
      </c>
      <c r="B72" s="62">
        <v>27261</v>
      </c>
      <c r="C72" s="63">
        <v>3.7244999999999999</v>
      </c>
      <c r="D72" s="63">
        <v>4.5</v>
      </c>
      <c r="E72" s="64">
        <f t="shared" si="11"/>
        <v>5.5579932719029834E-3</v>
      </c>
      <c r="F72" s="64">
        <f t="shared" si="7"/>
        <v>1.8246334858530208E-2</v>
      </c>
      <c r="G72" s="64">
        <f>E72*$R$17+$R$16</f>
        <v>2.5169811012444133E-2</v>
      </c>
      <c r="H72" s="42">
        <f t="shared" si="8"/>
        <v>27446.35876533066</v>
      </c>
      <c r="I72" s="65">
        <f t="shared" si="9"/>
        <v>6.7994118092021714E-3</v>
      </c>
      <c r="J72" s="65">
        <f t="shared" si="6"/>
        <v>4.6232000951117949E-5</v>
      </c>
      <c r="K72" s="65">
        <f t="shared" si="10"/>
        <v>6.7994118092021714E-3</v>
      </c>
      <c r="Q72" s="58">
        <v>48</v>
      </c>
      <c r="R72" s="58">
        <v>3.4468379175041017E-3</v>
      </c>
      <c r="S72" s="61">
        <v>-2.4870628928385166E-2</v>
      </c>
      <c r="T72" s="40"/>
      <c r="U72" s="40"/>
      <c r="V72" s="40"/>
      <c r="W72"/>
      <c r="X72"/>
      <c r="Y72"/>
    </row>
    <row r="73" spans="1:25" ht="14.5" x14ac:dyDescent="0.35">
      <c r="Q73" s="58">
        <v>49</v>
      </c>
      <c r="R73" s="58">
        <v>3.4729167718555373E-3</v>
      </c>
      <c r="S73" s="61">
        <v>1.4224226173108968E-2</v>
      </c>
      <c r="T73" s="40"/>
      <c r="U73" s="40"/>
      <c r="V73" s="40"/>
      <c r="W73"/>
      <c r="X73"/>
      <c r="Y73"/>
    </row>
    <row r="74" spans="1:25" ht="14.5" x14ac:dyDescent="0.35">
      <c r="Q74" s="58">
        <v>50</v>
      </c>
      <c r="R74" s="58">
        <v>3.4400849686642594E-3</v>
      </c>
      <c r="S74" s="61">
        <v>-4.8895660072298439E-2</v>
      </c>
      <c r="T74" s="40"/>
      <c r="U74" s="40"/>
      <c r="V74" s="40"/>
      <c r="W74"/>
      <c r="X74"/>
      <c r="Y74"/>
    </row>
    <row r="75" spans="1:25" ht="15" customHeight="1" x14ac:dyDescent="0.35">
      <c r="B75" s="93">
        <f>B69*(1+F70)</f>
        <v>26773.3</v>
      </c>
      <c r="C75" s="68"/>
      <c r="D75" s="69"/>
      <c r="G75" s="70" t="s">
        <v>509</v>
      </c>
      <c r="H75" s="71" t="s">
        <v>510</v>
      </c>
      <c r="I75" s="70" t="str">
        <f>I1</f>
        <v>Absolute Forecast Error</v>
      </c>
      <c r="J75" s="70" t="str">
        <f t="shared" ref="J75:K75" si="12">J1</f>
        <v>Absolute Squared Error</v>
      </c>
      <c r="K75" s="70" t="str">
        <f t="shared" si="12"/>
        <v>Forecast Error</v>
      </c>
      <c r="Q75" s="58">
        <v>51</v>
      </c>
      <c r="R75" s="58">
        <v>4.0372577109140384E-3</v>
      </c>
      <c r="S75" s="61">
        <v>2.3304792804443836E-2</v>
      </c>
      <c r="T75" s="40"/>
      <c r="U75" s="40"/>
      <c r="V75" s="40"/>
      <c r="W75"/>
      <c r="X75"/>
      <c r="Y75"/>
    </row>
    <row r="76" spans="1:25" ht="14.5" x14ac:dyDescent="0.35">
      <c r="C76" s="68"/>
      <c r="D76" s="69"/>
      <c r="F76" s="7" t="s">
        <v>506</v>
      </c>
      <c r="G76" s="11">
        <v>26773.3</v>
      </c>
      <c r="H76" s="72">
        <f>H70</f>
        <v>26296.967808407491</v>
      </c>
      <c r="I76" s="73">
        <v>1.7791314167192988E-2</v>
      </c>
      <c r="J76" s="74">
        <v>3.1653085979576191E-4</v>
      </c>
      <c r="K76" s="74">
        <v>-1.7791314167192988E-2</v>
      </c>
      <c r="Q76" s="58">
        <v>52</v>
      </c>
      <c r="R76" s="58">
        <v>4.0132228946493445E-3</v>
      </c>
      <c r="S76" s="61">
        <v>-1.2643942267533607E-3</v>
      </c>
      <c r="T76" s="40"/>
      <c r="U76" s="40"/>
      <c r="V76" s="40"/>
      <c r="W76"/>
      <c r="X76"/>
      <c r="Y76"/>
    </row>
    <row r="77" spans="1:25" ht="14.5" x14ac:dyDescent="0.35">
      <c r="C77" s="68"/>
      <c r="D77" s="69"/>
      <c r="E77" s="75">
        <f>B71</f>
        <v>26772.5</v>
      </c>
      <c r="F77" s="7" t="s">
        <v>507</v>
      </c>
      <c r="G77" s="76">
        <v>26772.5</v>
      </c>
      <c r="H77" s="72">
        <f>H71</f>
        <v>27448.177337319597</v>
      </c>
      <c r="I77" s="73">
        <v>2.5237737877284432E-2</v>
      </c>
      <c r="J77" s="74">
        <v>6.3694341316251728E-4</v>
      </c>
      <c r="K77" s="74">
        <v>2.5237737877284432E-2</v>
      </c>
      <c r="Q77" s="58">
        <v>53</v>
      </c>
      <c r="R77" s="58">
        <v>7.6202366395831181E-3</v>
      </c>
      <c r="S77" s="61">
        <v>-7.0712101058601077E-3</v>
      </c>
      <c r="T77" s="40"/>
      <c r="U77" s="40"/>
      <c r="V77" s="40"/>
      <c r="W77"/>
      <c r="X77"/>
      <c r="Y77"/>
    </row>
    <row r="78" spans="1:25" ht="14.5" x14ac:dyDescent="0.35">
      <c r="F78" s="7" t="s">
        <v>508</v>
      </c>
      <c r="G78" s="11">
        <v>27261</v>
      </c>
      <c r="H78" s="72">
        <f>H72</f>
        <v>27446.35876533066</v>
      </c>
      <c r="I78" s="73">
        <v>6.7994118092021714E-3</v>
      </c>
      <c r="J78" s="74">
        <v>4.6232000951117949E-5</v>
      </c>
      <c r="K78" s="74">
        <v>6.7994118092021714E-3</v>
      </c>
      <c r="Q78" s="58">
        <v>54</v>
      </c>
      <c r="R78" s="58">
        <v>9.8263202983521827E-3</v>
      </c>
      <c r="S78" s="61">
        <v>3.2502270206781987E-2</v>
      </c>
      <c r="T78" s="40"/>
      <c r="U78" s="40"/>
      <c r="V78" s="40"/>
      <c r="W78"/>
      <c r="X78"/>
      <c r="Y78"/>
    </row>
    <row r="79" spans="1:25" ht="14.5" x14ac:dyDescent="0.35">
      <c r="Q79" s="58">
        <v>55</v>
      </c>
      <c r="R79" s="58">
        <v>1.0987033266328085E-2</v>
      </c>
      <c r="S79" s="61">
        <v>2.6265161774811731E-2</v>
      </c>
      <c r="T79" s="40"/>
      <c r="U79" s="40"/>
      <c r="V79" s="40"/>
      <c r="W79"/>
      <c r="X79"/>
      <c r="Y79"/>
    </row>
    <row r="80" spans="1:25" ht="14.5" x14ac:dyDescent="0.35">
      <c r="H80" s="7" t="s">
        <v>511</v>
      </c>
      <c r="I80" s="43">
        <f>AVERAGE(I4:I69)</f>
        <v>3.641376790024551E-2</v>
      </c>
      <c r="K80" s="1"/>
      <c r="Q80" s="58">
        <v>56</v>
      </c>
      <c r="R80" s="58">
        <v>1.0794208643289619E-2</v>
      </c>
      <c r="S80" s="61">
        <v>-5.0339343761158423E-2</v>
      </c>
      <c r="T80" s="40"/>
      <c r="U80" s="40"/>
      <c r="V80" s="40"/>
      <c r="W80"/>
      <c r="X80"/>
      <c r="Y80"/>
    </row>
    <row r="81" spans="2:25" ht="14.5" x14ac:dyDescent="0.35">
      <c r="H81" s="7" t="s">
        <v>512</v>
      </c>
      <c r="I81" s="43">
        <f>P88</f>
        <v>2.2885640399125488E-3</v>
      </c>
      <c r="K81" s="1"/>
      <c r="Q81" s="58">
        <v>57</v>
      </c>
      <c r="R81" s="58">
        <v>1.0719419485073527E-2</v>
      </c>
      <c r="S81" s="61">
        <v>-2.5194874791019586E-3</v>
      </c>
      <c r="T81" s="40"/>
      <c r="U81" s="40"/>
      <c r="V81" s="40"/>
      <c r="W81"/>
      <c r="X81"/>
      <c r="Y81"/>
    </row>
    <row r="82" spans="2:25" ht="14.5" x14ac:dyDescent="0.35">
      <c r="H82" s="7" t="s">
        <v>513</v>
      </c>
      <c r="I82" s="43">
        <f>SQRT(I81)</f>
        <v>4.7838938532460656E-2</v>
      </c>
      <c r="K82" s="1"/>
      <c r="Q82" s="58">
        <v>58</v>
      </c>
      <c r="R82" s="58">
        <v>1.0727224648227316E-2</v>
      </c>
      <c r="S82" s="61">
        <v>-4.5045172388769969E-2</v>
      </c>
      <c r="T82" s="40"/>
      <c r="U82" s="40"/>
      <c r="V82" s="40"/>
      <c r="W82"/>
      <c r="X82"/>
      <c r="Y82"/>
    </row>
    <row r="83" spans="2:25" ht="14.5" x14ac:dyDescent="0.35">
      <c r="K83" s="1"/>
      <c r="Q83" s="58">
        <v>59</v>
      </c>
      <c r="R83" s="58">
        <v>1.0706645992509398E-2</v>
      </c>
      <c r="S83" s="61">
        <v>-2.5862186703335732E-2</v>
      </c>
      <c r="T83" s="40"/>
      <c r="U83" s="40"/>
      <c r="V83" s="40"/>
      <c r="W83"/>
      <c r="X83"/>
      <c r="Y83"/>
    </row>
    <row r="84" spans="2:25" ht="14.5" x14ac:dyDescent="0.35">
      <c r="K84" s="1"/>
      <c r="Q84" s="58">
        <v>60</v>
      </c>
      <c r="R84" s="58">
        <v>1.0628762170050664E-2</v>
      </c>
      <c r="S84" s="61">
        <v>-3.6727615624140682E-2</v>
      </c>
      <c r="T84" s="40"/>
      <c r="U84" s="40"/>
      <c r="V84" s="40"/>
      <c r="W84"/>
      <c r="X84"/>
      <c r="Y84"/>
    </row>
    <row r="85" spans="2:25" ht="14.5" x14ac:dyDescent="0.35">
      <c r="Q85" s="58">
        <v>61</v>
      </c>
      <c r="R85" s="58">
        <v>1.0770238437310859E-2</v>
      </c>
      <c r="S85" s="61">
        <v>-4.6163565782059351E-2</v>
      </c>
      <c r="T85" s="40"/>
      <c r="U85" s="40"/>
      <c r="V85" s="40"/>
      <c r="W85"/>
      <c r="X85"/>
      <c r="Y85"/>
    </row>
    <row r="86" spans="2:25" ht="14.5" x14ac:dyDescent="0.35">
      <c r="Q86" s="58">
        <v>62</v>
      </c>
      <c r="R86" s="58">
        <v>1.1418139955035503E-2</v>
      </c>
      <c r="S86" s="61">
        <v>-5.2458675894221395E-2</v>
      </c>
      <c r="T86" s="40"/>
      <c r="U86" s="40"/>
      <c r="V86" s="40"/>
      <c r="W86"/>
      <c r="X86"/>
      <c r="Y86"/>
    </row>
    <row r="87" spans="2:25" ht="14.5" x14ac:dyDescent="0.35">
      <c r="C87" s="66" t="s">
        <v>509</v>
      </c>
      <c r="D87" s="66" t="s">
        <v>510</v>
      </c>
      <c r="Q87" s="58">
        <v>63</v>
      </c>
      <c r="R87" s="58">
        <v>1.0970078878566145E-2</v>
      </c>
      <c r="S87" s="61">
        <v>6.9965088283633653E-2</v>
      </c>
      <c r="T87" s="40"/>
      <c r="U87" s="40"/>
      <c r="V87" s="40"/>
      <c r="W87"/>
      <c r="X87"/>
      <c r="Y87"/>
    </row>
    <row r="88" spans="2:25" ht="14.5" x14ac:dyDescent="0.35">
      <c r="B88" s="2" t="s">
        <v>439</v>
      </c>
      <c r="C88" s="11">
        <v>21843.8</v>
      </c>
      <c r="D88" s="77">
        <v>21473.88092189153</v>
      </c>
      <c r="K88" s="66" t="s">
        <v>511</v>
      </c>
      <c r="L88" s="1">
        <v>1.7368947779160496E-2</v>
      </c>
      <c r="P88" s="1">
        <f>AVERAGE(J4:J69)</f>
        <v>2.2885640399125488E-3</v>
      </c>
      <c r="Q88" s="58">
        <v>64</v>
      </c>
      <c r="R88" s="58">
        <v>1.2207038667376302E-2</v>
      </c>
      <c r="S88" s="61">
        <v>-6.2665778364242239E-3</v>
      </c>
      <c r="T88" s="40"/>
      <c r="U88" s="40"/>
      <c r="V88" s="40"/>
      <c r="W88"/>
      <c r="X88"/>
      <c r="Y88"/>
    </row>
    <row r="89" spans="2:25" ht="14.5" x14ac:dyDescent="0.35">
      <c r="B89" s="2" t="s">
        <v>440</v>
      </c>
      <c r="C89" s="11">
        <v>22949.4</v>
      </c>
      <c r="D89" s="77">
        <v>21917.170478863143</v>
      </c>
      <c r="K89" s="66" t="s">
        <v>512</v>
      </c>
      <c r="L89" s="1">
        <v>5.777329622463751E-4</v>
      </c>
      <c r="Q89" s="58">
        <v>65</v>
      </c>
      <c r="R89" s="58">
        <v>1.5350259021231851E-2</v>
      </c>
      <c r="S89" s="61">
        <v>-3.4372069901509317E-3</v>
      </c>
      <c r="T89" s="40"/>
      <c r="U89" s="40"/>
      <c r="V89" s="40"/>
      <c r="W89"/>
      <c r="X89"/>
      <c r="Y89"/>
    </row>
    <row r="90" spans="2:25" ht="14.5" x14ac:dyDescent="0.35">
      <c r="B90" s="2" t="s">
        <v>441</v>
      </c>
      <c r="C90" s="11">
        <v>23380</v>
      </c>
      <c r="D90" s="77">
        <v>23021.006337098126</v>
      </c>
      <c r="K90" s="66" t="s">
        <v>513</v>
      </c>
      <c r="L90" s="1">
        <v>2.4036076265613219E-2</v>
      </c>
      <c r="Q90" s="58">
        <v>66</v>
      </c>
      <c r="R90" s="58">
        <v>2.318626518918367E-2</v>
      </c>
      <c r="S90" s="61">
        <v>-2.537519766664308E-2</v>
      </c>
      <c r="T90" s="66"/>
      <c r="U90" s="66"/>
      <c r="V90" s="66"/>
    </row>
    <row r="91" spans="2:25" x14ac:dyDescent="0.3">
      <c r="B91" s="2" t="s">
        <v>442</v>
      </c>
      <c r="C91" s="11">
        <v>25412.7</v>
      </c>
      <c r="D91" s="77">
        <v>23428.684442600665</v>
      </c>
    </row>
    <row r="92" spans="2:25" x14ac:dyDescent="0.3">
      <c r="B92" s="2" t="s">
        <v>443</v>
      </c>
      <c r="C92" s="11">
        <v>26534.6</v>
      </c>
      <c r="D92" s="77">
        <v>25409.942129873194</v>
      </c>
    </row>
    <row r="93" spans="2:25" x14ac:dyDescent="0.3">
      <c r="B93" s="2" t="s">
        <v>444</v>
      </c>
      <c r="C93" s="11">
        <v>23429.200000000001</v>
      </c>
      <c r="D93" s="77">
        <v>26466.991057237257</v>
      </c>
    </row>
    <row r="94" spans="2:25" x14ac:dyDescent="0.3">
      <c r="B94" s="2" t="s">
        <v>445</v>
      </c>
      <c r="C94" s="11">
        <v>24441.200000000001</v>
      </c>
      <c r="D94" s="77">
        <v>23355.838727732516</v>
      </c>
    </row>
    <row r="95" spans="2:25" x14ac:dyDescent="0.3">
      <c r="B95" s="2" t="s">
        <v>446</v>
      </c>
      <c r="C95" s="11">
        <v>23564.7</v>
      </c>
      <c r="D95" s="77">
        <v>24375.313675321344</v>
      </c>
    </row>
    <row r="96" spans="2:25" x14ac:dyDescent="0.3">
      <c r="B96" s="2" t="s">
        <v>447</v>
      </c>
      <c r="C96" s="11">
        <v>24946.2</v>
      </c>
      <c r="D96" s="77">
        <v>23603.833299668353</v>
      </c>
    </row>
    <row r="97" spans="2:14" x14ac:dyDescent="0.3">
      <c r="B97" s="2" t="s">
        <v>448</v>
      </c>
      <c r="C97" s="11">
        <v>26113.1</v>
      </c>
      <c r="D97" s="77">
        <v>25053.725464883282</v>
      </c>
    </row>
    <row r="98" spans="2:14" x14ac:dyDescent="0.3">
      <c r="B98" s="2" t="s">
        <v>449</v>
      </c>
      <c r="C98" s="11">
        <v>26452.9</v>
      </c>
      <c r="D98" s="77">
        <v>26232.936129543144</v>
      </c>
    </row>
    <row r="99" spans="2:14" x14ac:dyDescent="0.3">
      <c r="B99" s="2" t="s">
        <v>450</v>
      </c>
      <c r="C99" s="11">
        <v>25793.5</v>
      </c>
      <c r="D99" s="77">
        <v>26545.483452552904</v>
      </c>
    </row>
    <row r="100" spans="2:14" x14ac:dyDescent="0.3">
      <c r="B100" s="2" t="s">
        <v>451</v>
      </c>
      <c r="C100" s="11">
        <v>23347.200000000001</v>
      </c>
      <c r="D100" s="77">
        <v>25862.874755181852</v>
      </c>
    </row>
    <row r="101" spans="2:14" x14ac:dyDescent="0.3">
      <c r="B101" s="2" t="s">
        <v>452</v>
      </c>
      <c r="C101" s="11">
        <v>26550.3</v>
      </c>
      <c r="D101" s="77">
        <v>23415.693163881409</v>
      </c>
    </row>
    <row r="102" spans="2:14" ht="14.5" x14ac:dyDescent="0.35">
      <c r="B102" s="2" t="s">
        <v>453</v>
      </c>
      <c r="C102" s="11">
        <v>26076.5</v>
      </c>
      <c r="D102" s="77">
        <v>26630.122972588339</v>
      </c>
      <c r="I102" s="40"/>
      <c r="J102" s="40"/>
      <c r="K102" s="40"/>
      <c r="L102"/>
      <c r="M102"/>
      <c r="N102"/>
    </row>
    <row r="103" spans="2:14" x14ac:dyDescent="0.3">
      <c r="B103" s="2" t="s">
        <v>454</v>
      </c>
      <c r="C103" s="11">
        <v>29574.400000000001</v>
      </c>
      <c r="D103" s="77">
        <v>26130.94981985577</v>
      </c>
    </row>
    <row r="104" spans="2:14" x14ac:dyDescent="0.3">
      <c r="B104" s="2" t="s">
        <v>455</v>
      </c>
      <c r="C104" s="11">
        <v>29747.7</v>
      </c>
      <c r="D104" s="77">
        <v>29618.991948220508</v>
      </c>
    </row>
    <row r="105" spans="2:14" x14ac:dyDescent="0.3">
      <c r="B105" s="2" t="s">
        <v>456</v>
      </c>
      <c r="C105" s="11">
        <v>27872.2</v>
      </c>
      <c r="D105" s="77">
        <v>29717.470327772597</v>
      </c>
    </row>
    <row r="106" spans="2:14" x14ac:dyDescent="0.3">
      <c r="B106" s="2" t="s">
        <v>457</v>
      </c>
      <c r="C106" s="11">
        <v>27216.2</v>
      </c>
      <c r="D106" s="77">
        <v>27831.253594090955</v>
      </c>
    </row>
    <row r="107" spans="2:14" x14ac:dyDescent="0.3">
      <c r="B107" s="2" t="s">
        <v>458</v>
      </c>
      <c r="C107" s="11">
        <v>27780.1</v>
      </c>
      <c r="D107" s="77">
        <v>27216.346461961657</v>
      </c>
    </row>
    <row r="108" spans="2:14" x14ac:dyDescent="0.3">
      <c r="B108" s="2" t="s">
        <v>459</v>
      </c>
      <c r="C108" s="11">
        <v>26429.9</v>
      </c>
      <c r="D108" s="77">
        <v>27820.873559083153</v>
      </c>
    </row>
    <row r="109" spans="2:14" x14ac:dyDescent="0.3">
      <c r="B109" s="2" t="s">
        <v>460</v>
      </c>
      <c r="C109" s="11">
        <v>26832.7</v>
      </c>
      <c r="D109" s="77">
        <v>26534.022361305389</v>
      </c>
    </row>
    <row r="110" spans="2:14" x14ac:dyDescent="0.3">
      <c r="B110" s="2" t="s">
        <v>461</v>
      </c>
      <c r="C110" s="11">
        <v>27472</v>
      </c>
      <c r="D110" s="77">
        <v>26944.560236411657</v>
      </c>
    </row>
    <row r="111" spans="2:14" x14ac:dyDescent="0.3">
      <c r="B111" s="2" t="s">
        <v>462</v>
      </c>
      <c r="C111" s="11">
        <v>26821.7</v>
      </c>
      <c r="D111" s="77">
        <v>27579.033408768708</v>
      </c>
    </row>
    <row r="112" spans="2:14" x14ac:dyDescent="0.3">
      <c r="B112" s="2" t="s">
        <v>463</v>
      </c>
      <c r="C112" s="11">
        <v>27537.9</v>
      </c>
      <c r="D112" s="77">
        <v>26922.721891690308</v>
      </c>
    </row>
    <row r="113" spans="2:4" x14ac:dyDescent="0.3">
      <c r="B113" s="2" t="s">
        <v>464</v>
      </c>
      <c r="C113" s="11">
        <v>28554</v>
      </c>
      <c r="D113" s="77">
        <v>27640.049424509773</v>
      </c>
    </row>
    <row r="114" spans="2:4" x14ac:dyDescent="0.3">
      <c r="B114" s="2" t="s">
        <v>465</v>
      </c>
      <c r="C114" s="11">
        <v>28967.599999999999</v>
      </c>
      <c r="D114" s="77">
        <v>28658.491857784615</v>
      </c>
    </row>
    <row r="115" spans="2:4" x14ac:dyDescent="0.3">
      <c r="B115" s="2" t="s">
        <v>466</v>
      </c>
      <c r="C115" s="11">
        <v>29020.3</v>
      </c>
      <c r="D115" s="77">
        <v>29073.009573042771</v>
      </c>
    </row>
    <row r="116" spans="2:4" x14ac:dyDescent="0.3">
      <c r="B116" s="2" t="s">
        <v>467</v>
      </c>
      <c r="C116" s="11">
        <v>29161.8</v>
      </c>
      <c r="D116" s="77">
        <v>29140.314142939329</v>
      </c>
    </row>
    <row r="117" spans="2:4" x14ac:dyDescent="0.3">
      <c r="B117" s="2" t="s">
        <v>468</v>
      </c>
      <c r="C117" s="11">
        <v>26746.1</v>
      </c>
      <c r="D117" s="77">
        <v>29275.995704045632</v>
      </c>
    </row>
    <row r="118" spans="2:4" x14ac:dyDescent="0.3">
      <c r="B118" s="2" t="s">
        <v>469</v>
      </c>
      <c r="C118" s="11">
        <v>25851.3</v>
      </c>
      <c r="D118" s="77">
        <v>26862.317298411297</v>
      </c>
    </row>
    <row r="119" spans="2:4" x14ac:dyDescent="0.3">
      <c r="B119" s="2" t="s">
        <v>470</v>
      </c>
      <c r="C119" s="11">
        <v>23091</v>
      </c>
      <c r="D119" s="77">
        <v>25975.870712011965</v>
      </c>
    </row>
    <row r="120" spans="2:4" x14ac:dyDescent="0.3">
      <c r="B120" s="2" t="s">
        <v>471</v>
      </c>
      <c r="C120" s="11">
        <v>24263.200000000001</v>
      </c>
      <c r="D120" s="77">
        <v>23211.019413131209</v>
      </c>
    </row>
    <row r="121" spans="2:4" x14ac:dyDescent="0.3">
      <c r="B121" s="2" t="s">
        <v>472</v>
      </c>
      <c r="C121" s="11">
        <v>25118.1</v>
      </c>
      <c r="D121" s="77">
        <v>24394.154098411265</v>
      </c>
    </row>
    <row r="122" spans="2:4" x14ac:dyDescent="0.3">
      <c r="B122" s="2" t="s">
        <v>473</v>
      </c>
      <c r="C122" s="11">
        <v>24413.3</v>
      </c>
      <c r="D122" s="77">
        <v>25260.21779595187</v>
      </c>
    </row>
    <row r="123" spans="2:4" x14ac:dyDescent="0.3">
      <c r="B123" s="2" t="s">
        <v>474</v>
      </c>
      <c r="C123" s="11">
        <v>25357</v>
      </c>
      <c r="D123" s="77">
        <v>24546.876040346677</v>
      </c>
    </row>
    <row r="124" spans="2:4" x14ac:dyDescent="0.3">
      <c r="B124" s="2" t="s">
        <v>475</v>
      </c>
      <c r="C124" s="11">
        <v>24765.3</v>
      </c>
      <c r="D124" s="77">
        <v>25482.547222748381</v>
      </c>
    </row>
    <row r="125" spans="2:4" x14ac:dyDescent="0.3">
      <c r="B125" s="2" t="s">
        <v>476</v>
      </c>
      <c r="C125" s="11">
        <v>25064.1</v>
      </c>
      <c r="D125" s="77">
        <v>24881.340620067273</v>
      </c>
    </row>
    <row r="126" spans="2:4" x14ac:dyDescent="0.3">
      <c r="B126" s="2" t="s">
        <v>477</v>
      </c>
      <c r="C126" s="11">
        <v>23938.1</v>
      </c>
      <c r="D126" s="77">
        <v>25176.587925836553</v>
      </c>
    </row>
    <row r="127" spans="2:4" x14ac:dyDescent="0.3">
      <c r="B127" s="2" t="s">
        <v>478</v>
      </c>
      <c r="C127" s="11">
        <v>24231</v>
      </c>
      <c r="D127" s="77">
        <v>24039.516398510128</v>
      </c>
    </row>
    <row r="128" spans="2:4" x14ac:dyDescent="0.3">
      <c r="B128" s="2" t="s">
        <v>479</v>
      </c>
      <c r="C128" s="11">
        <v>25964.5</v>
      </c>
      <c r="D128" s="77">
        <v>24338.16138797954</v>
      </c>
    </row>
    <row r="129" spans="2:17" x14ac:dyDescent="0.3">
      <c r="B129" s="2" t="s">
        <v>480</v>
      </c>
      <c r="C129" s="11">
        <v>26842.799999999999</v>
      </c>
      <c r="D129" s="77">
        <v>26097.579977588175</v>
      </c>
    </row>
    <row r="130" spans="2:17" x14ac:dyDescent="0.3">
      <c r="B130" s="2" t="s">
        <v>481</v>
      </c>
      <c r="C130" s="11">
        <v>27240.5</v>
      </c>
      <c r="D130" s="77">
        <v>26974.883857287597</v>
      </c>
    </row>
    <row r="131" spans="2:17" x14ac:dyDescent="0.3">
      <c r="B131" s="2" t="s">
        <v>482</v>
      </c>
      <c r="C131" s="11">
        <v>28083.3</v>
      </c>
      <c r="D131" s="77">
        <v>27379.516556783481</v>
      </c>
    </row>
    <row r="132" spans="2:17" x14ac:dyDescent="0.3">
      <c r="B132" s="2" t="s">
        <v>483</v>
      </c>
      <c r="C132" s="11">
        <v>26819.5</v>
      </c>
      <c r="D132" s="77">
        <v>28227.045292461502</v>
      </c>
    </row>
    <row r="133" spans="2:17" x14ac:dyDescent="0.3">
      <c r="B133" s="2" t="s">
        <v>484</v>
      </c>
      <c r="C133" s="11">
        <v>27075.7</v>
      </c>
      <c r="D133" s="77">
        <v>26942.982431399236</v>
      </c>
    </row>
    <row r="134" spans="2:17" x14ac:dyDescent="0.3">
      <c r="B134" s="2" t="s">
        <v>485</v>
      </c>
      <c r="C134" s="11">
        <v>26596.6</v>
      </c>
      <c r="D134" s="77">
        <v>27208.224202458903</v>
      </c>
    </row>
    <row r="135" spans="2:17" x14ac:dyDescent="0.3">
      <c r="B135" s="2" t="s">
        <v>486</v>
      </c>
      <c r="C135" s="11">
        <v>26026.799999999999</v>
      </c>
      <c r="D135" s="77">
        <v>26730.591456106333</v>
      </c>
    </row>
    <row r="136" spans="2:17" x14ac:dyDescent="0.3">
      <c r="B136" s="2" t="s">
        <v>487</v>
      </c>
      <c r="C136" s="11">
        <v>26487.4</v>
      </c>
      <c r="D136" s="77">
        <v>26159.63499741198</v>
      </c>
    </row>
    <row r="137" spans="2:17" x14ac:dyDescent="0.3">
      <c r="B137" s="2" t="s">
        <v>488</v>
      </c>
      <c r="C137" s="11">
        <v>25283.4</v>
      </c>
      <c r="D137" s="77">
        <v>26626.876616978385</v>
      </c>
    </row>
    <row r="138" spans="2:17" ht="14.5" thickBot="1" x14ac:dyDescent="0.35">
      <c r="B138" s="2" t="s">
        <v>489</v>
      </c>
      <c r="C138" s="11">
        <v>25974.7</v>
      </c>
      <c r="D138" s="77">
        <v>25413.494530838678</v>
      </c>
      <c r="O138" s="78"/>
      <c r="P138" s="78"/>
      <c r="Q138" s="78"/>
    </row>
    <row r="139" spans="2:17" x14ac:dyDescent="0.3">
      <c r="B139" s="2" t="s">
        <v>490</v>
      </c>
      <c r="C139" s="11">
        <v>26046.1</v>
      </c>
      <c r="D139" s="77">
        <v>26082.032338036508</v>
      </c>
    </row>
    <row r="140" spans="2:17" x14ac:dyDescent="0.3">
      <c r="B140" s="2" t="s">
        <v>491</v>
      </c>
      <c r="C140" s="11">
        <v>26060.400000000001</v>
      </c>
      <c r="D140" s="77">
        <v>26150.890000884399</v>
      </c>
    </row>
    <row r="141" spans="2:17" x14ac:dyDescent="0.3">
      <c r="B141" s="2" t="s">
        <v>492</v>
      </c>
      <c r="C141" s="11">
        <v>27163.5</v>
      </c>
      <c r="D141" s="77">
        <v>26178.011175241652</v>
      </c>
    </row>
    <row r="142" spans="2:17" x14ac:dyDescent="0.3">
      <c r="B142" s="2" t="s">
        <v>493</v>
      </c>
      <c r="C142" s="11">
        <v>28175.4</v>
      </c>
      <c r="D142" s="77">
        <v>27281.736229026163</v>
      </c>
    </row>
    <row r="143" spans="2:17" x14ac:dyDescent="0.3">
      <c r="B143" s="2" t="s">
        <v>494</v>
      </c>
      <c r="C143" s="11">
        <v>27061.200000000001</v>
      </c>
      <c r="D143" s="77">
        <v>28327.532780046316</v>
      </c>
    </row>
    <row r="144" spans="2:17" x14ac:dyDescent="0.3">
      <c r="B144" s="2" t="s">
        <v>495</v>
      </c>
      <c r="C144" s="11">
        <v>27283.1</v>
      </c>
      <c r="D144" s="77">
        <v>27213.690350687299</v>
      </c>
    </row>
    <row r="145" spans="2:4" x14ac:dyDescent="0.3">
      <c r="B145" s="2" t="s">
        <v>496</v>
      </c>
      <c r="C145" s="11">
        <v>26346.799999999999</v>
      </c>
      <c r="D145" s="77">
        <v>27430.42295189065</v>
      </c>
    </row>
    <row r="146" spans="2:4" x14ac:dyDescent="0.3">
      <c r="B146" s="2" t="s">
        <v>497</v>
      </c>
      <c r="C146" s="11">
        <v>25947.5</v>
      </c>
      <c r="D146" s="77">
        <v>26506.674070359099</v>
      </c>
    </row>
    <row r="147" spans="2:4" x14ac:dyDescent="0.3">
      <c r="B147" s="2" t="s">
        <v>498</v>
      </c>
      <c r="C147" s="11">
        <v>25270.3</v>
      </c>
      <c r="D147" s="77">
        <v>26121.859698814176</v>
      </c>
    </row>
    <row r="148" spans="2:4" x14ac:dyDescent="0.3">
      <c r="B148" s="2" t="s">
        <v>499</v>
      </c>
      <c r="C148" s="11">
        <v>24375.9</v>
      </c>
      <c r="D148" s="77">
        <v>25455.309159298089</v>
      </c>
    </row>
    <row r="149" spans="2:4" x14ac:dyDescent="0.3">
      <c r="B149" s="2" t="s">
        <v>500</v>
      </c>
      <c r="C149" s="11">
        <v>23375.5</v>
      </c>
      <c r="D149" s="77">
        <v>24556.706338628581</v>
      </c>
    </row>
    <row r="150" spans="2:4" x14ac:dyDescent="0.3">
      <c r="B150" s="2" t="s">
        <v>501</v>
      </c>
      <c r="C150" s="11">
        <v>25267.4</v>
      </c>
      <c r="D150" s="77">
        <v>23553.430022903187</v>
      </c>
    </row>
    <row r="151" spans="2:4" x14ac:dyDescent="0.3">
      <c r="B151" s="2" t="s">
        <v>502</v>
      </c>
      <c r="C151" s="11">
        <v>25417.5</v>
      </c>
      <c r="D151" s="77">
        <v>25448.72143433903</v>
      </c>
    </row>
    <row r="152" spans="2:4" x14ac:dyDescent="0.3">
      <c r="B152" s="2" t="s">
        <v>503</v>
      </c>
      <c r="C152" s="11">
        <v>25720.3</v>
      </c>
      <c r="D152" s="77">
        <v>25590.986591071323</v>
      </c>
    </row>
    <row r="153" spans="2:4" x14ac:dyDescent="0.3">
      <c r="B153" s="2" t="s">
        <v>504</v>
      </c>
      <c r="C153" s="11">
        <v>25664</v>
      </c>
      <c r="D153" s="77">
        <v>25895.821356751367</v>
      </c>
    </row>
    <row r="154" spans="2:4" x14ac:dyDescent="0.3">
      <c r="B154" s="2" t="s">
        <v>505</v>
      </c>
      <c r="C154" s="77">
        <v>25664</v>
      </c>
    </row>
  </sheetData>
  <mergeCells count="8">
    <mergeCell ref="K1:K2"/>
    <mergeCell ref="Q1:R2"/>
    <mergeCell ref="E1:E2"/>
    <mergeCell ref="F1:F2"/>
    <mergeCell ref="G1:G2"/>
    <mergeCell ref="H1:H2"/>
    <mergeCell ref="I1:I2"/>
    <mergeCell ref="J1:J2"/>
  </mergeCells>
  <conditionalFormatting sqref="A3:K72">
    <cfRule type="expression" dxfId="17" priority="6">
      <formula>MOD(ROW(),2)</formula>
    </cfRule>
  </conditionalFormatting>
  <conditionalFormatting sqref="B88:B154">
    <cfRule type="expression" dxfId="16" priority="5">
      <formula>MOD(ROW(),2)</formula>
    </cfRule>
  </conditionalFormatting>
  <conditionalFormatting sqref="C88:C153">
    <cfRule type="expression" dxfId="15" priority="4">
      <formula>MOD(ROW(),2)</formula>
    </cfRule>
  </conditionalFormatting>
  <conditionalFormatting sqref="F76:F78">
    <cfRule type="expression" dxfId="14" priority="2">
      <formula>MOD(ROW(),2)</formula>
    </cfRule>
  </conditionalFormatting>
  <conditionalFormatting sqref="G76 G78">
    <cfRule type="expression" dxfId="13" priority="3">
      <formula>MOD(ROW(),2)</formula>
    </cfRule>
  </conditionalFormatting>
  <conditionalFormatting sqref="H80:H82">
    <cfRule type="expression" dxfId="12" priority="1">
      <formula>MOD(ROW(),2)</formula>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2D3DC-560D-4F01-8DA7-8215498CF2E9}">
  <dimension ref="A1:AO108"/>
  <sheetViews>
    <sheetView workbookViewId="0">
      <selection activeCell="AH21" sqref="AH21"/>
    </sheetView>
  </sheetViews>
  <sheetFormatPr defaultRowHeight="14.5" x14ac:dyDescent="0.35"/>
  <cols>
    <col min="2" max="2" width="8.453125" bestFit="1" customWidth="1"/>
    <col min="3" max="3" width="12.453125" bestFit="1" customWidth="1"/>
    <col min="4" max="4" width="11.81640625" bestFit="1" customWidth="1"/>
    <col min="5" max="5" width="27.1796875" bestFit="1" customWidth="1"/>
    <col min="6" max="15" width="27.1796875" customWidth="1"/>
    <col min="16" max="16" width="14.7265625" bestFit="1" customWidth="1"/>
    <col min="17" max="18" width="14.7265625" customWidth="1"/>
    <col min="24" max="24" width="13" bestFit="1" customWidth="1"/>
    <col min="25" max="25" width="12.453125" bestFit="1" customWidth="1"/>
    <col min="26" max="26" width="11.81640625" bestFit="1" customWidth="1"/>
    <col min="27" max="27" width="12.7265625" bestFit="1" customWidth="1"/>
    <col min="33" max="33" width="18.1796875" customWidth="1"/>
  </cols>
  <sheetData>
    <row r="1" spans="1:35" ht="57.65" customHeight="1" x14ac:dyDescent="0.35">
      <c r="B1" t="s">
        <v>349</v>
      </c>
      <c r="C1" s="434" t="s">
        <v>350</v>
      </c>
      <c r="D1" s="434"/>
    </row>
    <row r="2" spans="1:35" ht="41.5" customHeight="1" x14ac:dyDescent="0.35">
      <c r="B2" s="56" t="s">
        <v>21</v>
      </c>
      <c r="C2" s="56" t="s">
        <v>285</v>
      </c>
      <c r="D2" s="56" t="s">
        <v>22</v>
      </c>
      <c r="E2" s="56" t="s">
        <v>351</v>
      </c>
      <c r="F2" s="56"/>
      <c r="G2" s="56"/>
      <c r="H2" s="56"/>
      <c r="I2" s="56"/>
      <c r="J2" s="56"/>
      <c r="K2" s="56"/>
      <c r="L2" s="56"/>
      <c r="M2" s="56"/>
      <c r="N2" s="56"/>
      <c r="O2" s="56"/>
      <c r="P2" s="56" t="s">
        <v>352</v>
      </c>
      <c r="Q2" s="56" t="s">
        <v>353</v>
      </c>
      <c r="R2" s="56"/>
      <c r="S2" s="56"/>
      <c r="T2" s="56"/>
    </row>
    <row r="3" spans="1:35" x14ac:dyDescent="0.35">
      <c r="A3">
        <v>2001</v>
      </c>
      <c r="B3">
        <v>50.992649999999998</v>
      </c>
      <c r="C3">
        <v>2.8261711188540701</v>
      </c>
      <c r="D3">
        <v>5.3455019556714198</v>
      </c>
      <c r="E3" s="54" t="s">
        <v>45</v>
      </c>
      <c r="F3" s="54" t="s">
        <v>514</v>
      </c>
      <c r="G3" s="66" t="s">
        <v>383</v>
      </c>
      <c r="H3" s="66" t="s">
        <v>515</v>
      </c>
      <c r="I3" s="66"/>
      <c r="J3" s="100">
        <v>5203.7416666666668</v>
      </c>
      <c r="K3" s="54"/>
      <c r="L3" s="54"/>
      <c r="M3" s="54"/>
      <c r="N3" s="54"/>
      <c r="O3" s="54" t="s">
        <v>516</v>
      </c>
      <c r="P3" s="66">
        <v>3.2456762179052613E-2</v>
      </c>
      <c r="Q3" s="66"/>
      <c r="R3" s="54" t="e">
        <f>(C3-#REF!)/#REF!</f>
        <v>#REF!</v>
      </c>
      <c r="S3" s="54" t="e">
        <f>(D3-#REF!)/#REF!</f>
        <v>#REF!</v>
      </c>
    </row>
    <row r="4" spans="1:35" x14ac:dyDescent="0.35">
      <c r="A4">
        <v>2002</v>
      </c>
      <c r="B4">
        <v>51.603566669999999</v>
      </c>
      <c r="C4">
        <v>1.5860316265060099</v>
      </c>
      <c r="D4">
        <v>2.7227722772276501</v>
      </c>
      <c r="E4" s="54">
        <f>((1+D3%)/(1+C3%))-1</f>
        <v>2.450087180534366E-2</v>
      </c>
      <c r="F4" s="54">
        <f t="shared" ref="F4:F26" si="0">(C4-C3)/C3</f>
        <v>-0.43880552174452214</v>
      </c>
      <c r="G4" s="66">
        <f>L4</f>
        <v>1.7004473236307263</v>
      </c>
      <c r="H4">
        <v>3.716255001583832</v>
      </c>
      <c r="I4" s="66"/>
      <c r="J4" s="100">
        <v>5591.3166666666666</v>
      </c>
      <c r="K4" s="54">
        <f>J4/J3-1</f>
        <v>7.4480061622326232E-2</v>
      </c>
      <c r="L4">
        <v>1.7004473236307263</v>
      </c>
      <c r="M4" s="54"/>
      <c r="N4" s="54"/>
      <c r="O4" s="54">
        <f t="shared" ref="O4:O26" si="1">(B4-B3)/B3</f>
        <v>1.1980484834579135E-2</v>
      </c>
      <c r="P4" s="66">
        <v>3.1108789888193863E-2</v>
      </c>
      <c r="Q4" s="66"/>
      <c r="R4" s="54">
        <f t="shared" ref="R4:R26" si="2">(C4-C3)/C3</f>
        <v>-0.43880552174452214</v>
      </c>
      <c r="S4" s="54">
        <f t="shared" ref="S4:S26" si="3">(D4-D3)/D3</f>
        <v>-0.49064235691862967</v>
      </c>
      <c r="AC4" t="s">
        <v>354</v>
      </c>
      <c r="AD4" t="s">
        <v>354</v>
      </c>
    </row>
    <row r="5" spans="1:35" ht="15" thickBot="1" x14ac:dyDescent="0.4">
      <c r="A5">
        <v>2003</v>
      </c>
      <c r="B5">
        <v>54.20333333</v>
      </c>
      <c r="C5">
        <v>2.2700949733611502</v>
      </c>
      <c r="D5">
        <v>2.2891566265060699</v>
      </c>
      <c r="E5" s="54">
        <f t="shared" ref="E5:E33" si="4">((1+D4%)/(1+C4%))-1</f>
        <v>1.1189930667840464E-2</v>
      </c>
      <c r="F5" s="54">
        <f t="shared" si="0"/>
        <v>0.43130498498451486</v>
      </c>
      <c r="G5" s="66">
        <f t="shared" ref="G5:G25" si="5">L5</f>
        <v>2.7956059658829986</v>
      </c>
      <c r="H5">
        <v>5.0869111351307339</v>
      </c>
      <c r="I5" s="66"/>
      <c r="J5" s="100">
        <v>5981.4250000000002</v>
      </c>
      <c r="K5" s="54">
        <f t="shared" ref="K5:K26" si="6">J5/J4-1</f>
        <v>6.9770388012364348E-2</v>
      </c>
      <c r="L5">
        <v>2.7956059658829986</v>
      </c>
      <c r="M5" s="54"/>
      <c r="N5" s="54"/>
      <c r="O5" s="54">
        <f t="shared" si="1"/>
        <v>5.037959249261327E-2</v>
      </c>
      <c r="P5" s="66">
        <v>3.2068590688919534E-2</v>
      </c>
      <c r="Q5" s="66"/>
      <c r="R5" s="54">
        <f t="shared" si="2"/>
        <v>0.43130498498451486</v>
      </c>
      <c r="S5" s="54">
        <f t="shared" si="3"/>
        <v>-0.15925520262865736</v>
      </c>
      <c r="V5" t="s">
        <v>354</v>
      </c>
    </row>
    <row r="6" spans="1:35" ht="15" thickBot="1" x14ac:dyDescent="0.4">
      <c r="A6">
        <v>2004</v>
      </c>
      <c r="B6">
        <v>56.039916669999997</v>
      </c>
      <c r="C6">
        <v>2.6772366930917202</v>
      </c>
      <c r="D6">
        <v>4.8292108362779498</v>
      </c>
      <c r="E6" s="54">
        <f t="shared" si="4"/>
        <v>1.863854057226888E-4</v>
      </c>
      <c r="F6" s="54">
        <f t="shared" si="0"/>
        <v>0.17935008204865871</v>
      </c>
      <c r="G6" s="66">
        <f t="shared" si="5"/>
        <v>3.8477716920522624</v>
      </c>
      <c r="H6">
        <v>6.5692285118062586</v>
      </c>
      <c r="I6" s="66"/>
      <c r="J6" s="100">
        <v>6266.7749999999996</v>
      </c>
      <c r="K6" s="54">
        <f t="shared" si="6"/>
        <v>4.7706023230250194E-2</v>
      </c>
      <c r="L6">
        <v>3.8477716920522624</v>
      </c>
      <c r="M6" s="54"/>
      <c r="N6" s="54"/>
      <c r="O6" s="54">
        <f t="shared" si="1"/>
        <v>3.3883217639375338E-2</v>
      </c>
      <c r="P6" s="66">
        <v>3.2862014042257477E-2</v>
      </c>
      <c r="Q6" s="66"/>
      <c r="R6" s="54">
        <f t="shared" si="2"/>
        <v>0.17935008204865871</v>
      </c>
      <c r="S6" s="54">
        <f t="shared" si="3"/>
        <v>1.1096026284792726</v>
      </c>
      <c r="AC6" s="90" t="s">
        <v>355</v>
      </c>
      <c r="AD6" s="90" t="s">
        <v>355</v>
      </c>
      <c r="AE6" s="90"/>
    </row>
    <row r="7" spans="1:35" x14ac:dyDescent="0.35">
      <c r="A7">
        <v>2005</v>
      </c>
      <c r="B7">
        <v>55.085491670000003</v>
      </c>
      <c r="C7">
        <v>3.3927468454955001</v>
      </c>
      <c r="D7">
        <v>6.51685393258433</v>
      </c>
      <c r="E7" s="54">
        <f t="shared" si="4"/>
        <v>2.0958629317407551E-2</v>
      </c>
      <c r="F7" s="54">
        <f t="shared" si="0"/>
        <v>0.26725696470919652</v>
      </c>
      <c r="G7" s="66">
        <f t="shared" si="5"/>
        <v>3.4835499379429962</v>
      </c>
      <c r="H7">
        <v>4.9425051187767792</v>
      </c>
      <c r="I7" s="66"/>
      <c r="J7" s="100">
        <v>6535.1333333333332</v>
      </c>
      <c r="K7" s="54">
        <f t="shared" si="6"/>
        <v>4.2822398017055674E-2</v>
      </c>
      <c r="L7">
        <v>3.4835499379429962</v>
      </c>
      <c r="M7" s="54"/>
      <c r="N7" s="54"/>
      <c r="O7" s="54">
        <f t="shared" si="1"/>
        <v>-1.7031163797410293E-2</v>
      </c>
      <c r="P7" s="66">
        <v>3.136420737829955E-2</v>
      </c>
      <c r="Q7" s="66"/>
      <c r="R7" s="54">
        <f t="shared" si="2"/>
        <v>0.26725696470919652</v>
      </c>
      <c r="S7" s="54">
        <f t="shared" si="3"/>
        <v>0.34946560701564</v>
      </c>
      <c r="V7" s="90" t="s">
        <v>355</v>
      </c>
      <c r="W7" s="90"/>
      <c r="AC7" t="s">
        <v>356</v>
      </c>
      <c r="AD7" t="s">
        <v>356</v>
      </c>
      <c r="AE7">
        <v>1</v>
      </c>
    </row>
    <row r="8" spans="1:35" x14ac:dyDescent="0.35">
      <c r="A8">
        <v>2006</v>
      </c>
      <c r="B8">
        <v>51.314272500000001</v>
      </c>
      <c r="C8">
        <v>3.2259441007040599</v>
      </c>
      <c r="D8">
        <v>5.4852320675105002</v>
      </c>
      <c r="E8" s="54">
        <f t="shared" si="4"/>
        <v>3.0215921158931014E-2</v>
      </c>
      <c r="F8" s="54">
        <f t="shared" si="0"/>
        <v>-4.9164512528514094E-2</v>
      </c>
      <c r="G8" s="66">
        <f t="shared" si="5"/>
        <v>2.7845396393814781</v>
      </c>
      <c r="H8">
        <v>5.316416821369387</v>
      </c>
      <c r="I8" s="66"/>
      <c r="J8" s="100">
        <v>6877.3833333333332</v>
      </c>
      <c r="K8" s="54">
        <f t="shared" si="6"/>
        <v>5.2370775398614677E-2</v>
      </c>
      <c r="L8">
        <v>2.7845396393814781</v>
      </c>
      <c r="M8" s="54"/>
      <c r="N8" s="54"/>
      <c r="O8" s="54">
        <f t="shared" si="1"/>
        <v>-6.8461205585532384E-2</v>
      </c>
      <c r="P8" s="66">
        <v>3.0696699646858096E-2</v>
      </c>
      <c r="Q8" s="66"/>
      <c r="R8" s="54">
        <f t="shared" si="2"/>
        <v>-4.9164512528514094E-2</v>
      </c>
      <c r="S8" s="54">
        <f t="shared" si="3"/>
        <v>-0.15830059653718967</v>
      </c>
      <c r="T8">
        <f t="shared" ref="T8:U13" si="7">C7/C6-1</f>
        <v>0.26725696470919647</v>
      </c>
      <c r="U8">
        <f t="shared" si="7"/>
        <v>0.34946560701564011</v>
      </c>
      <c r="V8" t="s">
        <v>356</v>
      </c>
      <c r="W8">
        <v>0.37063383057946303</v>
      </c>
      <c r="AC8" t="s">
        <v>357</v>
      </c>
      <c r="AD8" t="s">
        <v>357</v>
      </c>
      <c r="AE8">
        <v>1</v>
      </c>
    </row>
    <row r="9" spans="1:35" x14ac:dyDescent="0.35">
      <c r="A9">
        <v>2007</v>
      </c>
      <c r="B9">
        <v>46.148391179999997</v>
      </c>
      <c r="C9">
        <v>2.8526724815013602</v>
      </c>
      <c r="D9">
        <v>2.9000000000000301</v>
      </c>
      <c r="E9" s="54">
        <f t="shared" si="4"/>
        <v>2.1886822992893462E-2</v>
      </c>
      <c r="F9" s="54">
        <f t="shared" si="0"/>
        <v>-0.11570926449755699</v>
      </c>
      <c r="G9" s="66">
        <f t="shared" si="5"/>
        <v>2.003858298258379</v>
      </c>
      <c r="H9">
        <v>6.5192915501893793</v>
      </c>
      <c r="I9" s="66"/>
      <c r="J9" s="100">
        <v>7298.1</v>
      </c>
      <c r="K9" s="54">
        <f t="shared" si="6"/>
        <v>6.1173944547708414E-2</v>
      </c>
      <c r="L9">
        <v>2.003858298258379</v>
      </c>
      <c r="M9" s="54"/>
      <c r="N9" s="54"/>
      <c r="O9" s="54">
        <f t="shared" si="1"/>
        <v>-0.10067143249473144</v>
      </c>
      <c r="P9" s="66">
        <v>3.1297278900158369E-2</v>
      </c>
      <c r="Q9" s="66"/>
      <c r="R9" s="54">
        <f t="shared" si="2"/>
        <v>-0.11570926449755699</v>
      </c>
      <c r="S9" s="54">
        <f t="shared" si="3"/>
        <v>-0.47130769230768216</v>
      </c>
      <c r="T9">
        <f t="shared" si="7"/>
        <v>-4.9164512528514059E-2</v>
      </c>
      <c r="U9">
        <f t="shared" si="7"/>
        <v>-0.15830059653718964</v>
      </c>
      <c r="V9" t="s">
        <v>357</v>
      </c>
      <c r="W9">
        <v>0.13736943637000612</v>
      </c>
      <c r="AC9" t="s">
        <v>358</v>
      </c>
      <c r="AD9" t="s">
        <v>358</v>
      </c>
      <c r="AE9">
        <v>1</v>
      </c>
    </row>
    <row r="10" spans="1:35" x14ac:dyDescent="0.35">
      <c r="A10">
        <v>2008</v>
      </c>
      <c r="B10">
        <v>44.323287610000001</v>
      </c>
      <c r="C10">
        <v>3.83910029665096</v>
      </c>
      <c r="D10">
        <v>8.2604470359572506</v>
      </c>
      <c r="E10" s="54">
        <f t="shared" si="4"/>
        <v>4.6014865104448965E-4</v>
      </c>
      <c r="F10" s="54">
        <f t="shared" si="0"/>
        <v>0.34579077042536732</v>
      </c>
      <c r="G10" s="66">
        <f t="shared" si="5"/>
        <v>0.11358724825886668</v>
      </c>
      <c r="H10">
        <v>4.3444873050918318</v>
      </c>
      <c r="I10" s="66"/>
      <c r="J10" s="100">
        <v>7790.8249999999998</v>
      </c>
      <c r="K10" s="54">
        <f t="shared" si="6"/>
        <v>6.7514147517847123E-2</v>
      </c>
      <c r="L10">
        <v>0.11358724825886668</v>
      </c>
      <c r="M10" s="54"/>
      <c r="N10" s="54"/>
      <c r="O10" s="54">
        <f t="shared" si="1"/>
        <v>-3.9548584974094782E-2</v>
      </c>
      <c r="P10" s="66">
        <v>3.2842274026930629E-2</v>
      </c>
      <c r="Q10" s="66"/>
      <c r="R10" s="54">
        <f t="shared" si="2"/>
        <v>0.34579077042536732</v>
      </c>
      <c r="S10" s="54">
        <f t="shared" si="3"/>
        <v>1.8484300123990223</v>
      </c>
      <c r="T10">
        <f t="shared" si="7"/>
        <v>-0.11570926449755703</v>
      </c>
      <c r="U10">
        <f t="shared" si="7"/>
        <v>-0.47130769230768221</v>
      </c>
      <c r="V10" t="s">
        <v>358</v>
      </c>
      <c r="W10">
        <v>9.6291790482863557E-2</v>
      </c>
      <c r="AC10" t="s">
        <v>359</v>
      </c>
      <c r="AD10" t="s">
        <v>359</v>
      </c>
      <c r="AE10">
        <v>1.5048501755144628E-18</v>
      </c>
    </row>
    <row r="11" spans="1:35" ht="15" thickBot="1" x14ac:dyDescent="0.4">
      <c r="A11">
        <v>2009</v>
      </c>
      <c r="B11">
        <v>47.67968845</v>
      </c>
      <c r="C11">
        <v>-0.35554626629971697</v>
      </c>
      <c r="D11">
        <v>4.2190305206462799</v>
      </c>
      <c r="E11" s="54">
        <f t="shared" si="4"/>
        <v>4.2578823648079078E-2</v>
      </c>
      <c r="F11" s="54">
        <f t="shared" si="0"/>
        <v>-1.0926118722685827</v>
      </c>
      <c r="G11" s="66">
        <f t="shared" si="5"/>
        <v>-2.5765002342699574</v>
      </c>
      <c r="H11">
        <v>1.4483230627566854</v>
      </c>
      <c r="I11" s="66"/>
      <c r="J11" s="100">
        <v>8416.0333333333328</v>
      </c>
      <c r="K11" s="54">
        <f t="shared" si="6"/>
        <v>8.0249310353310843E-2</v>
      </c>
      <c r="L11">
        <v>-2.5765002342699574</v>
      </c>
      <c r="M11" s="54"/>
      <c r="N11" s="54"/>
      <c r="O11" s="54">
        <f t="shared" si="1"/>
        <v>7.5725448652025185E-2</v>
      </c>
      <c r="P11" s="66">
        <v>2.9805258268986942E-2</v>
      </c>
      <c r="Q11" s="66"/>
      <c r="R11" s="54">
        <f t="shared" si="2"/>
        <v>-1.0926118722685827</v>
      </c>
      <c r="S11" s="54">
        <f t="shared" si="3"/>
        <v>-0.48924912873588039</v>
      </c>
      <c r="T11">
        <f t="shared" si="7"/>
        <v>0.34579077042536732</v>
      </c>
      <c r="U11">
        <f t="shared" si="7"/>
        <v>1.8484300123990223</v>
      </c>
      <c r="V11" t="s">
        <v>359</v>
      </c>
      <c r="W11">
        <v>4.7491690597387885E-2</v>
      </c>
      <c r="AC11" s="88" t="s">
        <v>360</v>
      </c>
      <c r="AD11" s="88" t="s">
        <v>360</v>
      </c>
      <c r="AE11" s="88">
        <v>23</v>
      </c>
    </row>
    <row r="12" spans="1:35" ht="15" thickBot="1" x14ac:dyDescent="0.4">
      <c r="A12">
        <v>2010</v>
      </c>
      <c r="B12">
        <v>45.109664180000003</v>
      </c>
      <c r="C12">
        <v>1.64004344238988</v>
      </c>
      <c r="D12">
        <v>3.7898363479759101</v>
      </c>
      <c r="E12" s="54">
        <f t="shared" si="4"/>
        <v>4.5908995589172941E-2</v>
      </c>
      <c r="F12" s="54">
        <f t="shared" si="0"/>
        <v>-5.6127426943849912</v>
      </c>
      <c r="G12" s="66">
        <f t="shared" si="5"/>
        <v>2.6951925838263975</v>
      </c>
      <c r="H12">
        <v>7.334499965144019</v>
      </c>
      <c r="I12" s="66"/>
      <c r="J12" s="100">
        <v>8626.1083333333336</v>
      </c>
      <c r="K12" s="54">
        <f t="shared" si="6"/>
        <v>2.4961284215446078E-2</v>
      </c>
      <c r="L12">
        <v>2.6951925838263975</v>
      </c>
      <c r="M12" s="54"/>
      <c r="N12" s="54"/>
      <c r="O12" s="54">
        <f t="shared" si="1"/>
        <v>-5.3901867934709573E-2</v>
      </c>
      <c r="P12" s="66">
        <v>2.9565132370855625E-2</v>
      </c>
      <c r="Q12" s="66"/>
      <c r="R12" s="54">
        <f t="shared" si="2"/>
        <v>-5.6127426943849912</v>
      </c>
      <c r="S12" s="54">
        <f t="shared" si="3"/>
        <v>-0.10172815071378649</v>
      </c>
      <c r="T12">
        <f t="shared" si="7"/>
        <v>-1.0926118722685827</v>
      </c>
      <c r="U12">
        <f t="shared" si="7"/>
        <v>-0.48924912873588045</v>
      </c>
      <c r="V12" s="88" t="s">
        <v>360</v>
      </c>
      <c r="W12" s="88">
        <v>23</v>
      </c>
    </row>
    <row r="13" spans="1:35" ht="15" thickBot="1" x14ac:dyDescent="0.4">
      <c r="A13">
        <v>2011</v>
      </c>
      <c r="B13">
        <v>43.230416666666663</v>
      </c>
      <c r="C13">
        <v>3.1568415686220201</v>
      </c>
      <c r="D13">
        <v>4.7184170471842002</v>
      </c>
      <c r="E13" s="54">
        <f t="shared" si="4"/>
        <v>2.1151042765979788E-2</v>
      </c>
      <c r="F13" s="54">
        <f t="shared" si="0"/>
        <v>0.9248524075812613</v>
      </c>
      <c r="G13" s="66">
        <f t="shared" si="5"/>
        <v>1.5644068543830087</v>
      </c>
      <c r="H13">
        <v>3.8582328242075477</v>
      </c>
      <c r="I13" s="66"/>
      <c r="J13" s="100">
        <v>9256.0166666666664</v>
      </c>
      <c r="K13" s="54">
        <f t="shared" si="6"/>
        <v>7.3023466549708926E-2</v>
      </c>
      <c r="L13">
        <v>1.5644068543830087</v>
      </c>
      <c r="M13" s="54"/>
      <c r="N13" s="54"/>
      <c r="O13" s="54">
        <f t="shared" si="1"/>
        <v>-4.1659532330691355E-2</v>
      </c>
      <c r="P13" s="66">
        <v>3.1350333184123322E-2</v>
      </c>
      <c r="Q13" s="66"/>
      <c r="R13" s="54">
        <f t="shared" si="2"/>
        <v>0.9248524075812613</v>
      </c>
      <c r="S13" s="54">
        <f t="shared" si="3"/>
        <v>0.2450186799501857</v>
      </c>
      <c r="T13">
        <f t="shared" si="7"/>
        <v>-5.6127426943849912</v>
      </c>
      <c r="U13">
        <f t="shared" si="7"/>
        <v>-0.10172815071378649</v>
      </c>
      <c r="AC13" t="s">
        <v>361</v>
      </c>
      <c r="AD13" t="s">
        <v>361</v>
      </c>
    </row>
    <row r="14" spans="1:35" ht="15" thickBot="1" x14ac:dyDescent="0.4">
      <c r="A14">
        <v>2012</v>
      </c>
      <c r="B14">
        <v>42.013750000000002</v>
      </c>
      <c r="C14">
        <v>2.0693372652605699</v>
      </c>
      <c r="D14">
        <v>3.02696391124796</v>
      </c>
      <c r="E14" s="54">
        <f t="shared" si="4"/>
        <v>1.5137876022729868E-2</v>
      </c>
      <c r="F14" s="54">
        <f t="shared" si="0"/>
        <v>-0.34449125168994532</v>
      </c>
      <c r="G14" s="66">
        <f t="shared" si="5"/>
        <v>2.2891133876789667</v>
      </c>
      <c r="H14">
        <v>6.8969517078676859</v>
      </c>
      <c r="I14" s="66"/>
      <c r="J14" s="100">
        <v>10050.033333333333</v>
      </c>
      <c r="K14" s="54">
        <f t="shared" si="6"/>
        <v>8.5783841501293701E-2</v>
      </c>
      <c r="L14">
        <v>2.2891133876789667</v>
      </c>
      <c r="M14" s="54"/>
      <c r="N14" s="54"/>
      <c r="O14" s="54">
        <f t="shared" si="1"/>
        <v>-2.8143764517652384E-2</v>
      </c>
      <c r="P14" s="66">
        <v>3.1783919524521698E-2</v>
      </c>
      <c r="Q14" s="66"/>
      <c r="R14" s="54">
        <f t="shared" si="2"/>
        <v>-0.34449125168994532</v>
      </c>
      <c r="S14" s="54">
        <f t="shared" si="3"/>
        <v>-0.35847893880971055</v>
      </c>
      <c r="V14" t="s">
        <v>361</v>
      </c>
      <c r="AC14" s="89"/>
      <c r="AD14" s="89"/>
      <c r="AE14" s="89" t="s">
        <v>362</v>
      </c>
      <c r="AF14" s="89" t="s">
        <v>288</v>
      </c>
      <c r="AG14" s="89" t="s">
        <v>363</v>
      </c>
      <c r="AH14" s="89" t="s">
        <v>364</v>
      </c>
      <c r="AI14" s="89" t="s">
        <v>365</v>
      </c>
    </row>
    <row r="15" spans="1:35" x14ac:dyDescent="0.35">
      <c r="A15">
        <v>2013</v>
      </c>
      <c r="B15">
        <v>42.602916666666665</v>
      </c>
      <c r="C15">
        <v>1.46483265562717</v>
      </c>
      <c r="D15">
        <v>2.5826876614179501</v>
      </c>
      <c r="E15" s="54">
        <f t="shared" si="4"/>
        <v>9.3821187796947481E-3</v>
      </c>
      <c r="F15" s="54">
        <f t="shared" si="0"/>
        <v>-0.29212473953939111</v>
      </c>
      <c r="G15" s="66">
        <f t="shared" si="5"/>
        <v>2.1178300991984571</v>
      </c>
      <c r="H15">
        <v>6.7505313039474544</v>
      </c>
      <c r="I15" s="66"/>
      <c r="J15" s="100">
        <v>10727.25</v>
      </c>
      <c r="K15" s="54">
        <f t="shared" si="6"/>
        <v>6.7384519454330327E-2</v>
      </c>
      <c r="L15">
        <v>2.1178300991984571</v>
      </c>
      <c r="M15" s="54"/>
      <c r="N15" s="54"/>
      <c r="O15" s="54">
        <f t="shared" si="1"/>
        <v>1.402318685351019E-2</v>
      </c>
      <c r="P15" s="66">
        <v>3.2198945055292243E-2</v>
      </c>
      <c r="Q15" s="66"/>
      <c r="R15" s="54">
        <f t="shared" si="2"/>
        <v>-0.29212473953939111</v>
      </c>
      <c r="S15" s="54">
        <f t="shared" si="3"/>
        <v>-0.14677289285779532</v>
      </c>
      <c r="V15" s="89"/>
      <c r="W15" s="89" t="s">
        <v>362</v>
      </c>
      <c r="X15" s="89" t="s">
        <v>288</v>
      </c>
      <c r="Y15" s="89" t="s">
        <v>363</v>
      </c>
      <c r="Z15" s="89" t="s">
        <v>364</v>
      </c>
      <c r="AA15" s="89" t="s">
        <v>365</v>
      </c>
      <c r="AC15" t="s">
        <v>366</v>
      </c>
      <c r="AD15" t="s">
        <v>366</v>
      </c>
      <c r="AE15">
        <v>4</v>
      </c>
      <c r="AF15">
        <v>2.621773446716065E-5</v>
      </c>
      <c r="AG15">
        <v>6.5544336167901626E-6</v>
      </c>
      <c r="AH15">
        <v>2.894333976242133E+30</v>
      </c>
      <c r="AI15">
        <v>5.308536881924819E-268</v>
      </c>
    </row>
    <row r="16" spans="1:35" x14ac:dyDescent="0.35">
      <c r="A16">
        <v>2014</v>
      </c>
      <c r="B16">
        <v>44.452583333333337</v>
      </c>
      <c r="C16">
        <v>1.6222229774082699</v>
      </c>
      <c r="D16">
        <v>3.5978234386421102</v>
      </c>
      <c r="E16" s="54">
        <f t="shared" si="4"/>
        <v>1.1017166997996153E-2</v>
      </c>
      <c r="F16" s="54">
        <f t="shared" si="0"/>
        <v>0.10744594010550169</v>
      </c>
      <c r="G16" s="66">
        <f t="shared" si="5"/>
        <v>2.5238198144198236</v>
      </c>
      <c r="H16">
        <v>6.3479874802974052</v>
      </c>
      <c r="I16" s="66"/>
      <c r="J16" s="100">
        <v>11389.283333333333</v>
      </c>
      <c r="K16" s="54">
        <f t="shared" si="6"/>
        <v>6.171510250374812E-2</v>
      </c>
      <c r="L16">
        <v>2.5238198144198236</v>
      </c>
      <c r="M16" s="54"/>
      <c r="N16" s="54"/>
      <c r="O16" s="54">
        <f t="shared" si="1"/>
        <v>4.3416432755973386E-2</v>
      </c>
      <c r="P16" s="66">
        <v>3.2081048013081662E-2</v>
      </c>
      <c r="Q16" s="66"/>
      <c r="R16" s="54">
        <f t="shared" si="2"/>
        <v>0.10744594010550169</v>
      </c>
      <c r="S16" s="54">
        <f t="shared" si="3"/>
        <v>0.39305402367812026</v>
      </c>
      <c r="V16" t="s">
        <v>366</v>
      </c>
      <c r="W16">
        <v>1</v>
      </c>
      <c r="X16">
        <v>7.5425783317847189E-3</v>
      </c>
      <c r="Y16">
        <v>7.5425783317847189E-3</v>
      </c>
      <c r="Z16">
        <v>3.3441409166293821</v>
      </c>
      <c r="AA16">
        <v>8.1684242529702605E-2</v>
      </c>
      <c r="AC16" t="s">
        <v>367</v>
      </c>
      <c r="AD16" t="s">
        <v>367</v>
      </c>
      <c r="AE16">
        <v>18</v>
      </c>
      <c r="AF16">
        <v>4.0762332913426374E-35</v>
      </c>
      <c r="AG16">
        <v>2.2645740507459096E-36</v>
      </c>
    </row>
    <row r="17" spans="1:40" ht="15" thickBot="1" x14ac:dyDescent="0.4">
      <c r="A17">
        <v>2015</v>
      </c>
      <c r="B17">
        <v>45.572249999999997</v>
      </c>
      <c r="C17">
        <v>0.118627135552451</v>
      </c>
      <c r="D17">
        <v>0.67419253684540803</v>
      </c>
      <c r="E17" s="54">
        <f t="shared" si="4"/>
        <v>1.9440634177753102E-2</v>
      </c>
      <c r="F17" s="54">
        <f t="shared" si="0"/>
        <v>-0.92687371760571735</v>
      </c>
      <c r="G17" s="66">
        <f t="shared" si="5"/>
        <v>2.9455504545523326</v>
      </c>
      <c r="H17">
        <v>6.3483097153988552</v>
      </c>
      <c r="I17" s="66"/>
      <c r="J17" s="100">
        <v>12045.758333333333</v>
      </c>
      <c r="K17" s="54">
        <f t="shared" si="6"/>
        <v>5.7639711014886741E-2</v>
      </c>
      <c r="L17">
        <v>2.9455504545523326</v>
      </c>
      <c r="M17" s="54"/>
      <c r="N17" s="54"/>
      <c r="O17" s="54">
        <f t="shared" si="1"/>
        <v>2.5187887468107253E-2</v>
      </c>
      <c r="P17" s="66">
        <v>3.1473664172938433E-2</v>
      </c>
      <c r="Q17" s="66"/>
      <c r="R17" s="54">
        <f t="shared" si="2"/>
        <v>-0.92687371760571735</v>
      </c>
      <c r="S17" s="54">
        <f t="shared" si="3"/>
        <v>-0.81261099986055418</v>
      </c>
      <c r="V17" t="s">
        <v>367</v>
      </c>
      <c r="W17">
        <v>21</v>
      </c>
      <c r="X17">
        <v>4.7364674191758438E-2</v>
      </c>
      <c r="Y17">
        <v>2.2554606757980208E-3</v>
      </c>
      <c r="AC17" s="88" t="s">
        <v>99</v>
      </c>
      <c r="AD17" s="88" t="s">
        <v>99</v>
      </c>
      <c r="AE17" s="88">
        <v>22</v>
      </c>
      <c r="AF17" s="88">
        <v>2.621773446716065E-5</v>
      </c>
      <c r="AG17" s="88"/>
      <c r="AH17" s="88"/>
      <c r="AI17" s="88"/>
    </row>
    <row r="18" spans="1:40" ht="15" thickBot="1" x14ac:dyDescent="0.4">
      <c r="A18">
        <v>2016</v>
      </c>
      <c r="B18">
        <v>47.630416666666669</v>
      </c>
      <c r="C18">
        <v>1.26158320570527</v>
      </c>
      <c r="D18">
        <v>1.25369880080982</v>
      </c>
      <c r="E18" s="54">
        <f t="shared" si="4"/>
        <v>5.5490713085863952E-3</v>
      </c>
      <c r="F18" s="54">
        <f t="shared" si="0"/>
        <v>9.634861912748967</v>
      </c>
      <c r="G18" s="66">
        <f t="shared" si="5"/>
        <v>1.8194514747429338</v>
      </c>
      <c r="H18">
        <v>7.1494567528665556</v>
      </c>
      <c r="I18" s="66"/>
      <c r="J18" s="100">
        <v>12860.591666666667</v>
      </c>
      <c r="K18" s="54">
        <f t="shared" si="6"/>
        <v>6.7644834869259096E-2</v>
      </c>
      <c r="L18">
        <v>1.8194514747429338</v>
      </c>
      <c r="M18" s="54"/>
      <c r="N18" s="54"/>
      <c r="O18" s="54">
        <f t="shared" si="1"/>
        <v>4.5162717808900639E-2</v>
      </c>
      <c r="P18" s="66">
        <v>3.2475331374936009E-2</v>
      </c>
      <c r="Q18" s="66"/>
      <c r="R18" s="54">
        <f t="shared" si="2"/>
        <v>9.634861912748967</v>
      </c>
      <c r="S18" s="54">
        <f t="shared" si="3"/>
        <v>0.85955603524767643</v>
      </c>
      <c r="V18" s="88" t="s">
        <v>99</v>
      </c>
      <c r="W18" s="88">
        <v>22</v>
      </c>
      <c r="X18" s="88">
        <v>5.4907252523543157E-2</v>
      </c>
      <c r="Y18" s="88"/>
      <c r="Z18" s="88"/>
      <c r="AA18" s="88"/>
    </row>
    <row r="19" spans="1:40" ht="15" thickBot="1" x14ac:dyDescent="0.4">
      <c r="A19">
        <v>2017</v>
      </c>
      <c r="B19">
        <v>50.412416666666665</v>
      </c>
      <c r="C19">
        <v>2.1301100036598002</v>
      </c>
      <c r="D19">
        <v>2.85318772590947</v>
      </c>
      <c r="E19" s="54">
        <f t="shared" si="4"/>
        <v>-7.7861758090769229E-5</v>
      </c>
      <c r="F19" s="54">
        <f t="shared" si="0"/>
        <v>0.68844194661658697</v>
      </c>
      <c r="G19" s="66">
        <f t="shared" si="5"/>
        <v>2.4576223035699627</v>
      </c>
      <c r="H19">
        <v>6.9309883252176547</v>
      </c>
      <c r="I19" s="66"/>
      <c r="J19" s="100">
        <v>13591.333333333332</v>
      </c>
      <c r="K19" s="54">
        <f t="shared" si="6"/>
        <v>5.682022146466803E-2</v>
      </c>
      <c r="L19">
        <v>2.4576223035699627</v>
      </c>
      <c r="M19" s="54"/>
      <c r="N19" s="54"/>
      <c r="O19" s="54">
        <f t="shared" si="1"/>
        <v>5.8408055076850325E-2</v>
      </c>
      <c r="P19" s="66">
        <v>3.2881067889524752E-2</v>
      </c>
      <c r="Q19" s="66"/>
      <c r="R19" s="54">
        <f t="shared" si="2"/>
        <v>0.68844194661658697</v>
      </c>
      <c r="S19" s="54">
        <f t="shared" si="3"/>
        <v>1.2758159488279552</v>
      </c>
      <c r="AC19" s="89"/>
      <c r="AD19" s="89"/>
      <c r="AE19" s="89" t="s">
        <v>368</v>
      </c>
      <c r="AF19" s="89" t="s">
        <v>359</v>
      </c>
      <c r="AG19" s="89" t="s">
        <v>369</v>
      </c>
      <c r="AH19" s="89" t="s">
        <v>370</v>
      </c>
      <c r="AI19" s="89" t="s">
        <v>371</v>
      </c>
      <c r="AJ19" s="89" t="s">
        <v>372</v>
      </c>
      <c r="AK19" s="89" t="s">
        <v>373</v>
      </c>
      <c r="AL19" s="89" t="s">
        <v>374</v>
      </c>
      <c r="AM19" s="89" t="s">
        <v>373</v>
      </c>
      <c r="AN19" s="89" t="s">
        <v>374</v>
      </c>
    </row>
    <row r="20" spans="1:40" x14ac:dyDescent="0.35">
      <c r="A20">
        <v>2018</v>
      </c>
      <c r="B20">
        <v>52.638666666666666</v>
      </c>
      <c r="C20">
        <v>2.4425832969280701</v>
      </c>
      <c r="D20">
        <v>5.3093466162770699</v>
      </c>
      <c r="E20" s="54">
        <f t="shared" si="4"/>
        <v>7.0799661551699256E-3</v>
      </c>
      <c r="F20" s="54">
        <f t="shared" si="0"/>
        <v>0.14669350067902642</v>
      </c>
      <c r="G20" s="66">
        <f t="shared" si="5"/>
        <v>2.9665050710042493</v>
      </c>
      <c r="H20">
        <v>6.3414855709894624</v>
      </c>
      <c r="I20" s="66"/>
      <c r="J20" s="100">
        <v>14104.275</v>
      </c>
      <c r="K20" s="54">
        <f t="shared" si="6"/>
        <v>3.7740349242164184E-2</v>
      </c>
      <c r="L20">
        <v>2.9665050710042493</v>
      </c>
      <c r="M20" s="54"/>
      <c r="N20" s="54"/>
      <c r="O20" s="54">
        <f t="shared" si="1"/>
        <v>4.4160747434907742E-2</v>
      </c>
      <c r="P20" s="66">
        <v>3.2364944432014459E-2</v>
      </c>
      <c r="Q20" s="66"/>
      <c r="R20" s="54">
        <f t="shared" si="2"/>
        <v>0.14669350067902642</v>
      </c>
      <c r="S20" s="54">
        <f t="shared" si="3"/>
        <v>0.86084727901480274</v>
      </c>
      <c r="V20" s="89"/>
      <c r="W20" s="89" t="s">
        <v>368</v>
      </c>
      <c r="X20" s="89" t="s">
        <v>359</v>
      </c>
      <c r="Y20" s="89" t="s">
        <v>369</v>
      </c>
      <c r="Z20" s="89" t="s">
        <v>370</v>
      </c>
      <c r="AA20" s="89" t="s">
        <v>371</v>
      </c>
      <c r="AB20" s="89" t="s">
        <v>372</v>
      </c>
      <c r="AC20" t="s">
        <v>375</v>
      </c>
      <c r="AD20" t="s">
        <v>375</v>
      </c>
      <c r="AE20">
        <v>3.287545357743446E-2</v>
      </c>
      <c r="AF20">
        <v>6.7280041123297447E-19</v>
      </c>
      <c r="AG20">
        <v>4.8863605058128432E+16</v>
      </c>
      <c r="AH20">
        <v>1.4587755816462776E-290</v>
      </c>
      <c r="AI20">
        <v>3.287545357743446E-2</v>
      </c>
      <c r="AJ20">
        <v>3.287545357743446E-2</v>
      </c>
      <c r="AK20">
        <v>3.287545357743446E-2</v>
      </c>
      <c r="AL20">
        <v>3.287545357743446E-2</v>
      </c>
      <c r="AM20">
        <v>-1.0945566639910143E-2</v>
      </c>
      <c r="AN20">
        <v>7.2626967597147263E-2</v>
      </c>
    </row>
    <row r="21" spans="1:40" x14ac:dyDescent="0.35">
      <c r="A21">
        <v>2019</v>
      </c>
      <c r="B21">
        <v>51.570833333333347</v>
      </c>
      <c r="C21">
        <v>1.81221007526012</v>
      </c>
      <c r="D21">
        <v>2.39206534422404</v>
      </c>
      <c r="E21" s="54">
        <f t="shared" si="4"/>
        <v>2.798409828303261E-2</v>
      </c>
      <c r="F21" s="54">
        <f t="shared" si="0"/>
        <v>-0.25807644818530562</v>
      </c>
      <c r="G21" s="66">
        <f t="shared" si="5"/>
        <v>2.4670375631391295</v>
      </c>
      <c r="H21">
        <v>6.1185256611850463</v>
      </c>
      <c r="I21" s="66"/>
      <c r="J21" s="100">
        <v>14818.725</v>
      </c>
      <c r="K21" s="54">
        <f t="shared" si="6"/>
        <v>5.0654854645134195E-2</v>
      </c>
      <c r="L21">
        <v>2.4670375631391295</v>
      </c>
      <c r="M21" s="54"/>
      <c r="N21" s="54"/>
      <c r="O21" s="54">
        <f t="shared" si="1"/>
        <v>-2.0286101471668202E-2</v>
      </c>
      <c r="P21" s="66">
        <v>3.08576278157409E-2</v>
      </c>
      <c r="Q21" s="66"/>
      <c r="R21" s="54">
        <f t="shared" si="2"/>
        <v>-0.25807644818530562</v>
      </c>
      <c r="S21" s="54">
        <f t="shared" si="3"/>
        <v>-0.54946144655717288</v>
      </c>
      <c r="V21" t="s">
        <v>375</v>
      </c>
      <c r="W21">
        <v>2.3288243757039983E-2</v>
      </c>
      <c r="X21">
        <v>1.362874159392845E-2</v>
      </c>
      <c r="Y21">
        <v>1.7087596530126306</v>
      </c>
      <c r="Z21">
        <v>0.10223523667824769</v>
      </c>
      <c r="AA21">
        <v>-5.0542759479096089E-3</v>
      </c>
      <c r="AB21">
        <v>5.1630763461989575E-2</v>
      </c>
      <c r="AC21" t="s">
        <v>45</v>
      </c>
      <c r="AD21" t="s">
        <v>45</v>
      </c>
      <c r="AE21">
        <v>-7.2106156192176293E-2</v>
      </c>
      <c r="AF21">
        <v>2.3283410325788425E-17</v>
      </c>
      <c r="AG21">
        <v>-3096889810523692</v>
      </c>
      <c r="AH21">
        <v>5.3587564847331177E-269</v>
      </c>
      <c r="AI21">
        <v>-7.2106156192176349E-2</v>
      </c>
      <c r="AJ21">
        <v>-7.2106156192176238E-2</v>
      </c>
      <c r="AK21">
        <v>-7.2106156192176349E-2</v>
      </c>
      <c r="AL21">
        <v>-7.2106156192176238E-2</v>
      </c>
      <c r="AM21">
        <v>-2.5235987304732186</v>
      </c>
      <c r="AN21">
        <v>0.65106839243441639</v>
      </c>
    </row>
    <row r="22" spans="1:40" ht="15" thickBot="1" x14ac:dyDescent="0.4">
      <c r="A22">
        <v>2020</v>
      </c>
      <c r="B22">
        <v>49.518333333333338</v>
      </c>
      <c r="C22">
        <v>1.2335843963063799</v>
      </c>
      <c r="D22">
        <v>2.3931623931624002</v>
      </c>
      <c r="E22" s="54">
        <f t="shared" si="4"/>
        <v>5.695341143614252E-3</v>
      </c>
      <c r="F22" s="54">
        <f t="shared" si="0"/>
        <v>-0.31929282749997162</v>
      </c>
      <c r="G22" s="66">
        <f t="shared" si="5"/>
        <v>-2.2134693329064277</v>
      </c>
      <c r="H22">
        <v>-9.5182947406493952</v>
      </c>
      <c r="I22" s="66"/>
      <c r="J22" s="100">
        <v>17650.208333333332</v>
      </c>
      <c r="K22" s="54">
        <f t="shared" si="6"/>
        <v>0.19107469322315729</v>
      </c>
      <c r="L22">
        <v>-2.2134693329064277</v>
      </c>
      <c r="M22" s="54"/>
      <c r="N22" s="54"/>
      <c r="O22" s="54">
        <f t="shared" si="1"/>
        <v>-3.9799628342894244E-2</v>
      </c>
      <c r="P22" s="66">
        <v>3.2464784419365282E-2</v>
      </c>
      <c r="Q22" s="66"/>
      <c r="R22" s="54">
        <f t="shared" si="2"/>
        <v>-0.31929282749997162</v>
      </c>
      <c r="S22" s="54">
        <f t="shared" si="3"/>
        <v>4.5861997081690403E-4</v>
      </c>
      <c r="T22" s="30">
        <f>AVERAGE(O3:O26)</f>
        <v>6.1648319561795582E-3</v>
      </c>
      <c r="V22" s="88" t="s">
        <v>376</v>
      </c>
      <c r="W22" s="88">
        <v>-1.2230231544240213</v>
      </c>
      <c r="X22" s="88">
        <v>0.66879404033690515</v>
      </c>
      <c r="Y22" s="88">
        <v>-1.8286992417096348</v>
      </c>
      <c r="Z22" s="88">
        <v>8.16842425297023E-2</v>
      </c>
      <c r="AA22" s="88">
        <v>-2.6138564999800118</v>
      </c>
      <c r="AB22" s="88">
        <v>0.16781019113196916</v>
      </c>
      <c r="AC22" t="s">
        <v>517</v>
      </c>
      <c r="AD22" t="s">
        <v>514</v>
      </c>
      <c r="AE22">
        <v>7.4719308332879484E-20</v>
      </c>
      <c r="AF22">
        <v>1.4056116971153641E-19</v>
      </c>
      <c r="AG22">
        <v>0.53157858949395875</v>
      </c>
      <c r="AH22">
        <v>0.60151730709075868</v>
      </c>
      <c r="AI22">
        <v>-2.2058875111614834E-19</v>
      </c>
      <c r="AJ22">
        <v>3.7002736778190729E-19</v>
      </c>
      <c r="AK22">
        <v>-2.2058875111614834E-19</v>
      </c>
      <c r="AL22">
        <v>3.7002736778190729E-19</v>
      </c>
      <c r="AM22">
        <v>-0.71306397034977864</v>
      </c>
      <c r="AN22">
        <v>0.31911689654913855</v>
      </c>
    </row>
    <row r="23" spans="1:40" ht="15" thickBot="1" x14ac:dyDescent="0.4">
      <c r="A23">
        <v>2021</v>
      </c>
      <c r="B23">
        <v>49.384000000000007</v>
      </c>
      <c r="C23">
        <v>4.6978588636374203</v>
      </c>
      <c r="D23">
        <v>3.92718022100332</v>
      </c>
      <c r="E23" s="54">
        <f t="shared" si="4"/>
        <v>1.1454479299246589E-2</v>
      </c>
      <c r="F23" s="54">
        <f t="shared" si="0"/>
        <v>2.8082995194360691</v>
      </c>
      <c r="G23" s="66">
        <f t="shared" si="5"/>
        <v>5.8002061284573045</v>
      </c>
      <c r="H23">
        <v>5.7147331342622465</v>
      </c>
      <c r="I23" s="66"/>
      <c r="J23" s="100">
        <v>20508.641666666666</v>
      </c>
      <c r="K23" s="54">
        <f t="shared" si="6"/>
        <v>0.16194898549356118</v>
      </c>
      <c r="L23">
        <v>5.8002061284573045</v>
      </c>
      <c r="M23" s="54"/>
      <c r="N23" s="54"/>
      <c r="O23" s="54">
        <f t="shared" si="1"/>
        <v>-2.7127999730738889E-3</v>
      </c>
      <c r="P23" s="66">
        <v>3.2049515103982934E-2</v>
      </c>
      <c r="Q23" s="66"/>
      <c r="R23" s="54">
        <f t="shared" si="2"/>
        <v>2.8082995194360691</v>
      </c>
      <c r="S23" s="54">
        <f t="shared" si="3"/>
        <v>0.64100030663352525</v>
      </c>
      <c r="AC23" t="s">
        <v>514</v>
      </c>
      <c r="AD23" t="s">
        <v>383</v>
      </c>
      <c r="AE23">
        <v>-3.6342131392593222E-19</v>
      </c>
      <c r="AF23">
        <v>2.5545259111129941E-19</v>
      </c>
      <c r="AG23">
        <v>-1.4226565968461498</v>
      </c>
      <c r="AH23">
        <v>0.17193548687146404</v>
      </c>
      <c r="AI23">
        <v>-9.001072928283429E-19</v>
      </c>
      <c r="AJ23">
        <v>1.7326466497647851E-19</v>
      </c>
      <c r="AK23">
        <v>-9.001072928283429E-19</v>
      </c>
      <c r="AL23">
        <v>1.7326466497647851E-19</v>
      </c>
      <c r="AM23" s="88">
        <v>-6.1821833094894557E-3</v>
      </c>
      <c r="AN23" s="88">
        <v>1.3541669666166288E-2</v>
      </c>
    </row>
    <row r="24" spans="1:40" ht="15" thickBot="1" x14ac:dyDescent="0.4">
      <c r="A24">
        <v>2022</v>
      </c>
      <c r="B24">
        <v>54.521666666666675</v>
      </c>
      <c r="C24">
        <v>8.0027998205212096</v>
      </c>
      <c r="D24">
        <v>5.8211581121395497</v>
      </c>
      <c r="E24" s="54">
        <f t="shared" si="4"/>
        <v>-7.3609780658253632E-3</v>
      </c>
      <c r="F24" s="54">
        <f t="shared" si="0"/>
        <v>0.70349941384251513</v>
      </c>
      <c r="G24" s="66">
        <f t="shared" si="5"/>
        <v>1.9354958948320871</v>
      </c>
      <c r="H24">
        <v>7.5809821278556342</v>
      </c>
      <c r="I24" s="66"/>
      <c r="J24" s="100">
        <v>21578.758333333331</v>
      </c>
      <c r="K24" s="54">
        <f t="shared" si="6"/>
        <v>5.217881730343743E-2</v>
      </c>
      <c r="L24">
        <v>1.9354958948320871</v>
      </c>
      <c r="M24" s="54"/>
      <c r="N24" s="54"/>
      <c r="O24" s="54">
        <f t="shared" si="1"/>
        <v>0.1040350450888277</v>
      </c>
      <c r="P24" s="66">
        <v>3.3406225411576049E-2</v>
      </c>
      <c r="Q24" s="66"/>
      <c r="R24" s="54">
        <f t="shared" si="2"/>
        <v>0.70349941384251513</v>
      </c>
      <c r="S24" s="54">
        <f t="shared" si="3"/>
        <v>0.48227424883810255</v>
      </c>
      <c r="AC24" t="s">
        <v>383</v>
      </c>
      <c r="AD24" s="88" t="s">
        <v>515</v>
      </c>
      <c r="AE24" s="88">
        <v>2.1581239772871198E-19</v>
      </c>
      <c r="AF24" s="88">
        <v>1.2795993219745916E-19</v>
      </c>
      <c r="AG24" s="88">
        <v>1.6865623013591848</v>
      </c>
      <c r="AH24" s="88">
        <v>0.1089417360559929</v>
      </c>
      <c r="AI24" s="88">
        <v>-5.3021444092678775E-20</v>
      </c>
      <c r="AJ24" s="88">
        <v>4.8464623955010274E-19</v>
      </c>
      <c r="AK24" s="88">
        <v>-5.3021444092678775E-20</v>
      </c>
      <c r="AL24" s="88">
        <v>4.8464623955010274E-19</v>
      </c>
    </row>
    <row r="25" spans="1:40" ht="15" thickBot="1" x14ac:dyDescent="0.4">
      <c r="A25">
        <v>2023</v>
      </c>
      <c r="B25">
        <v>55.609666666666669</v>
      </c>
      <c r="C25">
        <v>4.1163383837448801</v>
      </c>
      <c r="D25">
        <v>5.9780251554140902</v>
      </c>
      <c r="E25" s="54">
        <f t="shared" si="4"/>
        <v>-2.0199862522148559E-2</v>
      </c>
      <c r="F25" s="54">
        <f t="shared" si="0"/>
        <v>-0.48563771729119803</v>
      </c>
      <c r="G25" s="66">
        <f t="shared" si="5"/>
        <v>2.5427002987848937</v>
      </c>
      <c r="H25">
        <v>5.5458511708776683</v>
      </c>
      <c r="I25" s="66"/>
      <c r="J25" s="100">
        <v>20840.941666666666</v>
      </c>
      <c r="K25" s="54">
        <f t="shared" si="6"/>
        <v>-3.4191803590799652E-2</v>
      </c>
      <c r="L25">
        <v>2.5427002987848937</v>
      </c>
      <c r="M25" s="54"/>
      <c r="N25" s="54"/>
      <c r="O25" s="54">
        <f t="shared" si="1"/>
        <v>1.995536942499912E-2</v>
      </c>
      <c r="P25" s="66">
        <v>3.4331988019516993E-2</v>
      </c>
      <c r="Q25" s="66"/>
      <c r="R25" s="54">
        <f t="shared" si="2"/>
        <v>-0.48563771729119803</v>
      </c>
      <c r="S25" s="54">
        <f t="shared" si="3"/>
        <v>2.6947737933351628E-2</v>
      </c>
      <c r="AC25" s="88" t="s">
        <v>515</v>
      </c>
    </row>
    <row r="26" spans="1:40" x14ac:dyDescent="0.35">
      <c r="A26">
        <v>2024</v>
      </c>
      <c r="B26">
        <v>57.149444444444448</v>
      </c>
      <c r="C26" s="95">
        <v>2.9</v>
      </c>
      <c r="D26" s="95">
        <v>3.3</v>
      </c>
      <c r="E26" s="54">
        <f t="shared" si="4"/>
        <v>1.7880832159190341E-2</v>
      </c>
      <c r="F26" s="54">
        <f t="shared" si="0"/>
        <v>-0.29549037769783743</v>
      </c>
      <c r="G26" s="66">
        <v>3</v>
      </c>
      <c r="H26" s="54">
        <v>5.7</v>
      </c>
      <c r="I26" s="54"/>
      <c r="J26" s="54">
        <v>21100</v>
      </c>
      <c r="K26" s="54">
        <f t="shared" si="6"/>
        <v>1.2430260468876853E-2</v>
      </c>
      <c r="L26" s="54"/>
      <c r="M26" s="54"/>
      <c r="N26" s="54"/>
      <c r="O26" s="54">
        <f t="shared" si="1"/>
        <v>2.7689030883919084E-2</v>
      </c>
      <c r="P26" s="66">
        <v>3.1586135500917795E-2</v>
      </c>
      <c r="Q26" s="66"/>
      <c r="R26" s="54">
        <f t="shared" si="2"/>
        <v>-0.29549037769783743</v>
      </c>
      <c r="S26" s="54">
        <f t="shared" si="3"/>
        <v>-0.44797823458281966</v>
      </c>
      <c r="V26" t="s">
        <v>377</v>
      </c>
    </row>
    <row r="27" spans="1:40" ht="15" thickBot="1" x14ac:dyDescent="0.4">
      <c r="A27" s="91">
        <v>2025</v>
      </c>
      <c r="B27">
        <f>B26*(1+Q27)</f>
        <v>58.208653592278068</v>
      </c>
      <c r="C27">
        <v>2</v>
      </c>
      <c r="D27">
        <v>3</v>
      </c>
      <c r="E27" s="54">
        <f t="shared" si="4"/>
        <v>3.8872691933915515E-3</v>
      </c>
      <c r="F27" s="54"/>
      <c r="G27" s="54"/>
      <c r="H27" s="54"/>
      <c r="I27" s="54"/>
      <c r="J27" s="54"/>
      <c r="K27" s="54"/>
      <c r="L27" s="54"/>
      <c r="M27" s="54"/>
      <c r="N27" s="54"/>
      <c r="O27" s="54"/>
      <c r="P27" s="54"/>
      <c r="Q27" s="92">
        <f>E27*$W$22+$W$21</f>
        <v>1.8534023526042928E-2</v>
      </c>
    </row>
    <row r="28" spans="1:40" x14ac:dyDescent="0.35">
      <c r="A28" s="91">
        <v>2026</v>
      </c>
      <c r="B28">
        <f t="shared" ref="B28:B33" si="8">B27*(1+Q28)</f>
        <v>58.866284522264898</v>
      </c>
      <c r="C28">
        <v>2</v>
      </c>
      <c r="D28">
        <v>3</v>
      </c>
      <c r="E28" s="54">
        <f t="shared" si="4"/>
        <v>9.8039215686274161E-3</v>
      </c>
      <c r="F28" s="54"/>
      <c r="G28" s="54"/>
      <c r="H28" s="54"/>
      <c r="I28" s="54"/>
      <c r="J28" s="54"/>
      <c r="K28" s="54"/>
      <c r="L28" s="54"/>
      <c r="M28" s="54"/>
      <c r="N28" s="54"/>
      <c r="O28" s="54"/>
      <c r="P28" s="54"/>
      <c r="Q28" s="92">
        <f t="shared" ref="Q28:Q33" si="9">E28*$W$22+$W$21</f>
        <v>1.1297820674451581E-2</v>
      </c>
      <c r="S28" s="66" t="e">
        <f>AVERAGE(R3:R26)</f>
        <v>#REF!</v>
      </c>
      <c r="T28" s="66" t="e">
        <f>AVERAGE(S3:S26)</f>
        <v>#REF!</v>
      </c>
      <c r="W28" s="89" t="s">
        <v>378</v>
      </c>
      <c r="X28" s="89" t="s">
        <v>353</v>
      </c>
      <c r="Y28" s="89" t="s">
        <v>379</v>
      </c>
      <c r="AD28" t="s">
        <v>377</v>
      </c>
    </row>
    <row r="29" spans="1:40" ht="15" thickBot="1" x14ac:dyDescent="0.4">
      <c r="A29" s="91">
        <v>2027</v>
      </c>
      <c r="B29">
        <f t="shared" si="8"/>
        <v>59.531345248568691</v>
      </c>
      <c r="C29">
        <v>2</v>
      </c>
      <c r="D29">
        <v>3</v>
      </c>
      <c r="E29" s="54">
        <f t="shared" si="4"/>
        <v>9.8039215686274161E-3</v>
      </c>
      <c r="F29" s="54"/>
      <c r="G29" s="54"/>
      <c r="H29" s="54"/>
      <c r="I29" s="54"/>
      <c r="J29" s="54"/>
      <c r="K29" s="54"/>
      <c r="L29" s="54"/>
      <c r="M29" s="54"/>
      <c r="N29" s="54"/>
      <c r="O29" s="54"/>
      <c r="P29" s="54"/>
      <c r="Q29" s="92">
        <f t="shared" si="9"/>
        <v>1.1297820674451581E-2</v>
      </c>
      <c r="W29">
        <v>1</v>
      </c>
      <c r="X29">
        <v>-6.6768897644699857E-3</v>
      </c>
      <c r="Y29">
        <v>1.865737459904912E-2</v>
      </c>
    </row>
    <row r="30" spans="1:40" x14ac:dyDescent="0.35">
      <c r="A30" s="91">
        <v>2028</v>
      </c>
      <c r="B30">
        <f t="shared" si="8"/>
        <v>60.203919711695889</v>
      </c>
      <c r="C30">
        <v>2</v>
      </c>
      <c r="D30">
        <v>3</v>
      </c>
      <c r="E30" s="54">
        <f t="shared" si="4"/>
        <v>9.8039215686274161E-3</v>
      </c>
      <c r="F30" s="54"/>
      <c r="G30" s="54"/>
      <c r="H30" s="54"/>
      <c r="I30" s="54"/>
      <c r="J30" s="54"/>
      <c r="K30" s="54"/>
      <c r="L30" s="54"/>
      <c r="M30" s="54"/>
      <c r="N30" s="54"/>
      <c r="O30" s="54"/>
      <c r="P30" s="54"/>
      <c r="Q30" s="92">
        <f t="shared" si="9"/>
        <v>1.1297820674451581E-2</v>
      </c>
      <c r="W30">
        <v>2</v>
      </c>
      <c r="X30">
        <v>9.6026994538716427E-3</v>
      </c>
      <c r="Y30">
        <v>4.077689303874163E-2</v>
      </c>
      <c r="AD30" s="89" t="s">
        <v>378</v>
      </c>
      <c r="AE30" s="89" t="s">
        <v>518</v>
      </c>
      <c r="AF30" s="89" t="s">
        <v>379</v>
      </c>
    </row>
    <row r="31" spans="1:40" x14ac:dyDescent="0.35">
      <c r="A31" s="91">
        <v>2029</v>
      </c>
      <c r="B31">
        <f t="shared" si="8"/>
        <v>60.884092800497712</v>
      </c>
      <c r="C31">
        <v>2</v>
      </c>
      <c r="D31">
        <v>3</v>
      </c>
      <c r="E31" s="54">
        <f t="shared" si="4"/>
        <v>9.8039215686274161E-3</v>
      </c>
      <c r="F31" s="54"/>
      <c r="G31" s="54"/>
      <c r="H31" s="54"/>
      <c r="I31" s="54"/>
      <c r="J31" s="54"/>
      <c r="K31" s="54"/>
      <c r="L31" s="54"/>
      <c r="M31" s="54"/>
      <c r="N31" s="54"/>
      <c r="O31" s="54"/>
      <c r="P31" s="54"/>
      <c r="Q31" s="92">
        <f t="shared" si="9"/>
        <v>1.1297820674451581E-2</v>
      </c>
      <c r="W31">
        <v>3</v>
      </c>
      <c r="X31">
        <v>2.3060290090194419E-2</v>
      </c>
      <c r="Y31">
        <v>1.0822927549180919E-2</v>
      </c>
      <c r="AD31">
        <v>1</v>
      </c>
      <c r="AE31">
        <v>3.1108789888193863E-2</v>
      </c>
      <c r="AF31">
        <v>0</v>
      </c>
    </row>
    <row r="32" spans="1:40" x14ac:dyDescent="0.35">
      <c r="A32" s="91">
        <v>2030</v>
      </c>
      <c r="B32">
        <f t="shared" si="8"/>
        <v>61.571950362884408</v>
      </c>
      <c r="C32">
        <v>2</v>
      </c>
      <c r="D32">
        <v>3</v>
      </c>
      <c r="E32" s="54">
        <f t="shared" si="4"/>
        <v>9.8039215686274161E-3</v>
      </c>
      <c r="F32" s="54"/>
      <c r="G32" s="54"/>
      <c r="H32" s="54"/>
      <c r="I32" s="54"/>
      <c r="J32" s="54"/>
      <c r="K32" s="54"/>
      <c r="L32" s="54"/>
      <c r="M32" s="54"/>
      <c r="N32" s="54"/>
      <c r="O32" s="54"/>
      <c r="P32" s="54"/>
      <c r="Q32" s="92">
        <f t="shared" si="9"/>
        <v>1.1297820674451581E-2</v>
      </c>
      <c r="W32">
        <v>4</v>
      </c>
      <c r="X32">
        <v>-2.3446451831395723E-3</v>
      </c>
      <c r="Y32">
        <v>-1.468651861427072E-2</v>
      </c>
      <c r="AD32">
        <v>2</v>
      </c>
      <c r="AE32">
        <v>3.2068590688919534E-2</v>
      </c>
      <c r="AF32">
        <v>0</v>
      </c>
    </row>
    <row r="33" spans="1:32" x14ac:dyDescent="0.35">
      <c r="A33" s="91">
        <v>2031</v>
      </c>
      <c r="B33">
        <f t="shared" si="8"/>
        <v>62.267579216660515</v>
      </c>
      <c r="C33">
        <v>2</v>
      </c>
      <c r="D33">
        <v>3</v>
      </c>
      <c r="E33" s="54">
        <f t="shared" si="4"/>
        <v>9.8039215686274161E-3</v>
      </c>
      <c r="F33" s="54"/>
      <c r="G33" s="54"/>
      <c r="H33" s="54"/>
      <c r="I33" s="54"/>
      <c r="J33" s="54"/>
      <c r="K33" s="54"/>
      <c r="L33" s="54"/>
      <c r="M33" s="54"/>
      <c r="N33" s="54"/>
      <c r="O33" s="54"/>
      <c r="P33" s="54"/>
      <c r="Q33" s="92">
        <f t="shared" si="9"/>
        <v>1.1297820674451581E-2</v>
      </c>
      <c r="W33">
        <v>5</v>
      </c>
      <c r="X33">
        <v>-1.3666527452583354E-2</v>
      </c>
      <c r="Y33">
        <v>-5.4794678132949026E-2</v>
      </c>
      <c r="AD33">
        <v>3</v>
      </c>
      <c r="AE33">
        <v>3.2862014042257477E-2</v>
      </c>
      <c r="AF33">
        <v>0</v>
      </c>
    </row>
    <row r="34" spans="1:32" x14ac:dyDescent="0.35">
      <c r="B34" t="s">
        <v>21</v>
      </c>
      <c r="G34">
        <v>8.0249310353310843E-2</v>
      </c>
      <c r="W34">
        <v>6</v>
      </c>
      <c r="X34">
        <v>-3.4798475400487777E-3</v>
      </c>
      <c r="Y34">
        <v>-9.7191584954682664E-2</v>
      </c>
      <c r="AD34">
        <v>4</v>
      </c>
      <c r="AE34">
        <v>3.136420737829955E-2</v>
      </c>
      <c r="AF34">
        <v>0</v>
      </c>
    </row>
    <row r="35" spans="1:32" x14ac:dyDescent="0.35">
      <c r="A35">
        <v>2024</v>
      </c>
      <c r="B35" s="94">
        <f>B26</f>
        <v>57.149444444444448</v>
      </c>
      <c r="C35">
        <f>C27/C26-1</f>
        <v>-0.31034482758620685</v>
      </c>
      <c r="D35">
        <f>D27/D26-1</f>
        <v>-9.0909090909090828E-2</v>
      </c>
      <c r="G35">
        <v>2.4961284215446078E-2</v>
      </c>
      <c r="W35">
        <v>7</v>
      </c>
      <c r="X35">
        <v>2.2725471302335595E-2</v>
      </c>
      <c r="Y35">
        <v>-6.2274056276430373E-2</v>
      </c>
      <c r="AD35">
        <v>5</v>
      </c>
      <c r="AE35">
        <v>3.0696699646858096E-2</v>
      </c>
      <c r="AF35">
        <v>0</v>
      </c>
    </row>
    <row r="36" spans="1:32" x14ac:dyDescent="0.35">
      <c r="A36" t="s">
        <v>52</v>
      </c>
      <c r="B36" s="94">
        <f t="shared" ref="B36:B42" si="10">B27</f>
        <v>58.208653592278068</v>
      </c>
      <c r="C36">
        <f>B36/B35-1</f>
        <v>1.8534023526042942E-2</v>
      </c>
      <c r="D36" s="30">
        <f>AVERAGE(C36:C41)</f>
        <v>1.2503854483050173E-2</v>
      </c>
      <c r="G36">
        <v>7.3023466549708926E-2</v>
      </c>
      <c r="W36">
        <v>8</v>
      </c>
      <c r="X36">
        <v>-2.8786643452697807E-2</v>
      </c>
      <c r="Y36">
        <v>0.104512092104723</v>
      </c>
      <c r="AD36">
        <v>6</v>
      </c>
      <c r="AE36">
        <v>3.1297278900158369E-2</v>
      </c>
      <c r="AF36">
        <v>0</v>
      </c>
    </row>
    <row r="37" spans="1:32" x14ac:dyDescent="0.35">
      <c r="A37" t="s">
        <v>53</v>
      </c>
      <c r="B37" s="94">
        <f t="shared" si="10"/>
        <v>58.866284522264898</v>
      </c>
      <c r="C37">
        <f>B37/B36-1</f>
        <v>1.129782067445162E-2</v>
      </c>
      <c r="G37">
        <v>8.5783841501293701E-2</v>
      </c>
      <c r="W37">
        <v>9</v>
      </c>
      <c r="X37">
        <v>-3.2859520844868789E-2</v>
      </c>
      <c r="Y37">
        <v>-2.1042347089840784E-2</v>
      </c>
      <c r="AD37">
        <v>7</v>
      </c>
      <c r="AE37">
        <v>3.2842274026930629E-2</v>
      </c>
      <c r="AF37">
        <v>0</v>
      </c>
    </row>
    <row r="38" spans="1:32" x14ac:dyDescent="0.35">
      <c r="A38" t="s">
        <v>54</v>
      </c>
      <c r="B38" s="94">
        <f t="shared" si="10"/>
        <v>59.531345248568691</v>
      </c>
      <c r="C38">
        <f t="shared" ref="C38:C41" si="11">B38/B37-1</f>
        <v>1.129782067445162E-2</v>
      </c>
      <c r="G38">
        <v>6.7384519454330327E-2</v>
      </c>
      <c r="W38">
        <v>10</v>
      </c>
      <c r="X38">
        <v>-2.5799712859659943E-3</v>
      </c>
      <c r="Y38">
        <v>-3.9079561044725361E-2</v>
      </c>
      <c r="AD38">
        <v>8</v>
      </c>
      <c r="AE38">
        <v>2.9805258268986942E-2</v>
      </c>
      <c r="AF38">
        <v>0</v>
      </c>
    </row>
    <row r="39" spans="1:32" ht="15" x14ac:dyDescent="0.35">
      <c r="A39" t="s">
        <v>380</v>
      </c>
      <c r="B39" s="94">
        <f t="shared" si="10"/>
        <v>60.203919711695889</v>
      </c>
      <c r="C39">
        <f t="shared" si="11"/>
        <v>1.129782067445162E-2</v>
      </c>
      <c r="G39">
        <v>6.171510250374812E-2</v>
      </c>
      <c r="P39" s="420" t="s">
        <v>1</v>
      </c>
      <c r="Q39" s="420" t="s">
        <v>381</v>
      </c>
      <c r="R39" s="420"/>
      <c r="W39">
        <v>11</v>
      </c>
      <c r="X39">
        <v>4.7742708724411408E-3</v>
      </c>
      <c r="Y39">
        <v>-3.2918035390093525E-2</v>
      </c>
      <c r="AD39">
        <v>9</v>
      </c>
      <c r="AE39">
        <v>2.9565132370855625E-2</v>
      </c>
      <c r="AF39">
        <v>0</v>
      </c>
    </row>
    <row r="40" spans="1:32" ht="15" x14ac:dyDescent="0.35">
      <c r="A40" t="s">
        <v>382</v>
      </c>
      <c r="B40" s="94">
        <f t="shared" si="10"/>
        <v>60.884092800497712</v>
      </c>
      <c r="C40">
        <f t="shared" si="11"/>
        <v>1.129782067445162E-2</v>
      </c>
      <c r="G40">
        <v>5.7639711014886741E-2</v>
      </c>
      <c r="P40" s="420"/>
      <c r="Q40" s="99" t="s">
        <v>383</v>
      </c>
      <c r="R40" s="99" t="s">
        <v>270</v>
      </c>
      <c r="W40">
        <v>12</v>
      </c>
      <c r="X40">
        <v>1.1813695251916863E-2</v>
      </c>
      <c r="Y40">
        <v>2.2094916015933264E-3</v>
      </c>
      <c r="AD40">
        <v>10</v>
      </c>
      <c r="AE40">
        <v>3.1350333184123322E-2</v>
      </c>
      <c r="AF40">
        <v>0</v>
      </c>
    </row>
    <row r="41" spans="1:32" ht="15.5" x14ac:dyDescent="0.35">
      <c r="A41" t="s">
        <v>384</v>
      </c>
      <c r="B41" s="94">
        <f t="shared" si="10"/>
        <v>61.571950362884408</v>
      </c>
      <c r="C41">
        <f t="shared" si="11"/>
        <v>1.129782067445162E-2</v>
      </c>
      <c r="G41">
        <v>6.7644834869259096E-2</v>
      </c>
      <c r="P41" s="96" t="s">
        <v>385</v>
      </c>
      <c r="Q41" s="97">
        <v>0.02</v>
      </c>
      <c r="R41" s="97">
        <v>0.03</v>
      </c>
      <c r="W41">
        <v>13</v>
      </c>
      <c r="X41">
        <v>9.8139934223345025E-3</v>
      </c>
      <c r="Y41">
        <v>3.3602439333638885E-2</v>
      </c>
      <c r="AD41">
        <v>11</v>
      </c>
      <c r="AE41">
        <v>3.1783919524521698E-2</v>
      </c>
      <c r="AF41">
        <v>0</v>
      </c>
    </row>
    <row r="42" spans="1:32" ht="248" x14ac:dyDescent="0.35">
      <c r="A42" t="s">
        <v>386</v>
      </c>
      <c r="B42" s="94">
        <f t="shared" si="10"/>
        <v>62.267579216660515</v>
      </c>
      <c r="G42">
        <v>5.682022146466803E-2</v>
      </c>
      <c r="P42" s="96" t="s">
        <v>387</v>
      </c>
      <c r="Q42" s="98" t="s">
        <v>388</v>
      </c>
      <c r="R42" s="98" t="s">
        <v>389</v>
      </c>
      <c r="W42">
        <v>14</v>
      </c>
      <c r="X42">
        <v>-4.8810197903905589E-4</v>
      </c>
      <c r="Y42">
        <v>2.5675989447146309E-2</v>
      </c>
      <c r="AD42">
        <v>12</v>
      </c>
      <c r="AE42">
        <v>3.2198945055292243E-2</v>
      </c>
      <c r="AF42">
        <v>0</v>
      </c>
    </row>
    <row r="43" spans="1:32" ht="15.5" x14ac:dyDescent="0.35">
      <c r="G43">
        <v>3.7740349242164184E-2</v>
      </c>
      <c r="P43" s="96" t="s">
        <v>390</v>
      </c>
      <c r="Q43" s="421" t="s">
        <v>391</v>
      </c>
      <c r="R43" s="421"/>
      <c r="W43">
        <v>15</v>
      </c>
      <c r="X43">
        <v>1.6501601061088819E-2</v>
      </c>
      <c r="Y43">
        <v>2.866111674781182E-2</v>
      </c>
      <c r="AD43">
        <v>13</v>
      </c>
      <c r="AE43">
        <v>3.2081048013081662E-2</v>
      </c>
      <c r="AF43">
        <v>0</v>
      </c>
    </row>
    <row r="44" spans="1:32" x14ac:dyDescent="0.35">
      <c r="G44">
        <v>5.0654854645134195E-2</v>
      </c>
      <c r="W44">
        <v>16</v>
      </c>
      <c r="X44">
        <v>2.3383470490029156E-2</v>
      </c>
      <c r="Y44">
        <v>3.5024584586821172E-2</v>
      </c>
      <c r="AD44">
        <v>14</v>
      </c>
      <c r="AE44">
        <v>3.1473664172938433E-2</v>
      </c>
      <c r="AF44">
        <v>0</v>
      </c>
    </row>
    <row r="45" spans="1:32" x14ac:dyDescent="0.35">
      <c r="G45">
        <v>0.19107469322315729</v>
      </c>
      <c r="W45">
        <v>17</v>
      </c>
      <c r="X45">
        <v>1.462928121672875E-2</v>
      </c>
      <c r="Y45">
        <v>2.9531466218178992E-2</v>
      </c>
      <c r="AD45">
        <v>15</v>
      </c>
      <c r="AE45">
        <v>3.2475331374936009E-2</v>
      </c>
      <c r="AF45">
        <v>0</v>
      </c>
    </row>
    <row r="46" spans="1:32" x14ac:dyDescent="0.35">
      <c r="G46">
        <v>0.16194898549356118</v>
      </c>
      <c r="W46">
        <v>18</v>
      </c>
      <c r="X46">
        <v>-1.0936956398786401E-2</v>
      </c>
      <c r="Y46">
        <v>-9.349145072881801E-3</v>
      </c>
      <c r="AD46">
        <v>16</v>
      </c>
      <c r="AE46">
        <v>3.2881067889524752E-2</v>
      </c>
      <c r="AF46">
        <v>0</v>
      </c>
    </row>
    <row r="47" spans="1:32" x14ac:dyDescent="0.35">
      <c r="G47">
        <v>5.217881730343743E-2</v>
      </c>
      <c r="W47">
        <v>19</v>
      </c>
      <c r="X47">
        <v>1.6322709666055969E-2</v>
      </c>
      <c r="Y47">
        <v>-5.6122338008950209E-2</v>
      </c>
      <c r="AD47">
        <v>17</v>
      </c>
      <c r="AE47">
        <v>3.2364944432014459E-2</v>
      </c>
      <c r="AF47">
        <v>0</v>
      </c>
    </row>
    <row r="48" spans="1:32" x14ac:dyDescent="0.35">
      <c r="G48">
        <v>-3.4191803590799652E-2</v>
      </c>
      <c r="W48">
        <v>20</v>
      </c>
      <c r="X48">
        <v>9.279150352190766E-3</v>
      </c>
      <c r="Y48">
        <v>-1.1991950325264655E-2</v>
      </c>
      <c r="AD48">
        <v>18</v>
      </c>
      <c r="AE48">
        <v>3.0857627815740897E-2</v>
      </c>
      <c r="AF48">
        <v>3.4694469519536142E-18</v>
      </c>
    </row>
    <row r="49" spans="7:34" x14ac:dyDescent="0.35">
      <c r="G49">
        <v>1.2430260468876853E-2</v>
      </c>
      <c r="W49">
        <v>21</v>
      </c>
      <c r="X49">
        <v>3.2290890370751751E-2</v>
      </c>
      <c r="Y49">
        <v>7.174415471807595E-2</v>
      </c>
      <c r="AD49">
        <v>19</v>
      </c>
      <c r="AE49">
        <v>3.2464784419365282E-2</v>
      </c>
      <c r="AF49">
        <v>0</v>
      </c>
    </row>
    <row r="50" spans="7:34" x14ac:dyDescent="0.35">
      <c r="W50">
        <v>22</v>
      </c>
      <c r="X50">
        <v>4.7993143337809685E-2</v>
      </c>
      <c r="Y50">
        <v>-2.8037773912810565E-2</v>
      </c>
      <c r="AD50">
        <v>20</v>
      </c>
      <c r="AE50">
        <v>3.2049515103982934E-2</v>
      </c>
      <c r="AF50">
        <v>0</v>
      </c>
    </row>
    <row r="51" spans="7:34" ht="15" thickBot="1" x14ac:dyDescent="0.4">
      <c r="W51" s="88">
        <v>23</v>
      </c>
      <c r="X51" s="88">
        <v>1.4195720059805295E-3</v>
      </c>
      <c r="Y51" s="88">
        <v>2.6269458877938554E-2</v>
      </c>
      <c r="AD51">
        <v>21</v>
      </c>
      <c r="AE51">
        <v>3.3406225411576049E-2</v>
      </c>
      <c r="AF51">
        <v>0</v>
      </c>
    </row>
    <row r="52" spans="7:34" x14ac:dyDescent="0.35">
      <c r="AD52">
        <v>22</v>
      </c>
      <c r="AE52">
        <v>3.4331988019516993E-2</v>
      </c>
      <c r="AF52">
        <v>0</v>
      </c>
    </row>
    <row r="53" spans="7:34" ht="15" thickBot="1" x14ac:dyDescent="0.4">
      <c r="AD53" s="88">
        <v>23</v>
      </c>
      <c r="AE53" s="88">
        <v>3.1586135500917795E-2</v>
      </c>
      <c r="AF53" s="88">
        <v>0</v>
      </c>
    </row>
    <row r="54" spans="7:34" ht="15" thickBot="1" x14ac:dyDescent="0.4">
      <c r="V54" t="s">
        <v>354</v>
      </c>
      <c r="AD54" s="88">
        <v>23</v>
      </c>
      <c r="AE54" s="88">
        <v>-5.4226244521751316E-3</v>
      </c>
      <c r="AF54" s="88">
        <v>3.3111655336094212E-2</v>
      </c>
    </row>
    <row r="55" spans="7:34" ht="15" thickBot="1" x14ac:dyDescent="0.4"/>
    <row r="56" spans="7:34" x14ac:dyDescent="0.35">
      <c r="V56" s="90" t="s">
        <v>355</v>
      </c>
      <c r="W56" s="90"/>
    </row>
    <row r="57" spans="7:34" x14ac:dyDescent="0.35">
      <c r="V57" t="s">
        <v>356</v>
      </c>
      <c r="W57">
        <v>1.5231079929730678E-2</v>
      </c>
      <c r="AG57" t="s">
        <v>354</v>
      </c>
    </row>
    <row r="58" spans="7:34" ht="15" thickBot="1" x14ac:dyDescent="0.4">
      <c r="V58" t="s">
        <v>357</v>
      </c>
      <c r="W58">
        <v>2.3198579582584466E-4</v>
      </c>
    </row>
    <row r="59" spans="7:34" x14ac:dyDescent="0.35">
      <c r="V59" t="s">
        <v>358</v>
      </c>
      <c r="W59">
        <v>-3.6796459174699127E-2</v>
      </c>
      <c r="AG59" s="90" t="s">
        <v>355</v>
      </c>
      <c r="AH59" s="90"/>
    </row>
    <row r="60" spans="7:34" x14ac:dyDescent="0.35">
      <c r="V60" t="s">
        <v>359</v>
      </c>
      <c r="W60">
        <v>9.3421806509866256E-2</v>
      </c>
      <c r="AG60" t="s">
        <v>356</v>
      </c>
      <c r="AH60">
        <v>0.21042681893466675</v>
      </c>
    </row>
    <row r="61" spans="7:34" ht="15" thickBot="1" x14ac:dyDescent="0.4">
      <c r="V61" s="88" t="s">
        <v>360</v>
      </c>
      <c r="W61" s="88">
        <v>29</v>
      </c>
      <c r="AG61" t="s">
        <v>357</v>
      </c>
      <c r="AH61">
        <v>4.4279446126963024E-2</v>
      </c>
    </row>
    <row r="62" spans="7:34" x14ac:dyDescent="0.35">
      <c r="AG62" t="s">
        <v>358</v>
      </c>
      <c r="AH62">
        <v>2.7263785672657637E-3</v>
      </c>
    </row>
    <row r="63" spans="7:34" ht="15" thickBot="1" x14ac:dyDescent="0.4">
      <c r="V63" t="s">
        <v>361</v>
      </c>
      <c r="AG63" t="s">
        <v>359</v>
      </c>
      <c r="AH63">
        <v>6.0894584311646557E-2</v>
      </c>
    </row>
    <row r="64" spans="7:34" ht="15" thickBot="1" x14ac:dyDescent="0.4">
      <c r="V64" s="89"/>
      <c r="W64" s="89" t="s">
        <v>362</v>
      </c>
      <c r="X64" s="89" t="s">
        <v>288</v>
      </c>
      <c r="Y64" s="89" t="s">
        <v>363</v>
      </c>
      <c r="Z64" s="89" t="s">
        <v>364</v>
      </c>
      <c r="AA64" s="89" t="s">
        <v>365</v>
      </c>
      <c r="AG64" s="88" t="s">
        <v>360</v>
      </c>
      <c r="AH64" s="88">
        <v>25</v>
      </c>
    </row>
    <row r="65" spans="20:41" x14ac:dyDescent="0.35">
      <c r="V65" t="s">
        <v>366</v>
      </c>
      <c r="W65">
        <v>1</v>
      </c>
      <c r="X65">
        <v>5.4679236595078784E-5</v>
      </c>
      <c r="Y65">
        <v>5.4679236595078784E-5</v>
      </c>
      <c r="Z65">
        <v>6.2650698945231906E-3</v>
      </c>
      <c r="AA65">
        <v>0.93749530299857775</v>
      </c>
    </row>
    <row r="66" spans="20:41" ht="15" thickBot="1" x14ac:dyDescent="0.4">
      <c r="V66" t="s">
        <v>367</v>
      </c>
      <c r="W66">
        <v>27</v>
      </c>
      <c r="X66">
        <v>0.23564611615230596</v>
      </c>
      <c r="Y66">
        <v>8.7276339315668881E-3</v>
      </c>
      <c r="AG66" t="s">
        <v>361</v>
      </c>
    </row>
    <row r="67" spans="20:41" ht="15" thickBot="1" x14ac:dyDescent="0.4">
      <c r="V67" s="88" t="s">
        <v>99</v>
      </c>
      <c r="W67" s="88">
        <v>28</v>
      </c>
      <c r="X67" s="88">
        <v>0.23570079538890104</v>
      </c>
      <c r="Y67" s="88"/>
      <c r="Z67" s="88"/>
      <c r="AA67" s="88"/>
      <c r="AG67" s="89"/>
      <c r="AH67" s="89" t="s">
        <v>362</v>
      </c>
      <c r="AI67" s="89" t="s">
        <v>288</v>
      </c>
      <c r="AJ67" s="89" t="s">
        <v>363</v>
      </c>
      <c r="AK67" s="89" t="s">
        <v>364</v>
      </c>
      <c r="AL67" s="89" t="s">
        <v>365</v>
      </c>
    </row>
    <row r="68" spans="20:41" ht="15" thickBot="1" x14ac:dyDescent="0.4">
      <c r="AG68" t="s">
        <v>366</v>
      </c>
      <c r="AH68">
        <v>1</v>
      </c>
      <c r="AI68">
        <v>3.9514494462928734E-3</v>
      </c>
      <c r="AJ68">
        <v>3.9514494462928734E-3</v>
      </c>
      <c r="AK68">
        <v>1.0656119686795424</v>
      </c>
      <c r="AL68">
        <v>0.31267197586353229</v>
      </c>
    </row>
    <row r="69" spans="20:41" x14ac:dyDescent="0.35">
      <c r="V69" s="89"/>
      <c r="W69" s="89" t="s">
        <v>368</v>
      </c>
      <c r="X69" s="89" t="s">
        <v>359</v>
      </c>
      <c r="Y69" s="89" t="s">
        <v>369</v>
      </c>
      <c r="Z69" s="89" t="s">
        <v>370</v>
      </c>
      <c r="AA69" s="89" t="s">
        <v>371</v>
      </c>
      <c r="AB69" s="89" t="s">
        <v>372</v>
      </c>
      <c r="AC69" s="89" t="s">
        <v>373</v>
      </c>
      <c r="AD69" s="89" t="s">
        <v>374</v>
      </c>
      <c r="AG69" t="s">
        <v>367</v>
      </c>
      <c r="AH69">
        <v>23</v>
      </c>
      <c r="AI69">
        <v>8.5287459165229312E-2</v>
      </c>
      <c r="AJ69">
        <v>3.708150398488231E-3</v>
      </c>
    </row>
    <row r="70" spans="20:41" ht="15" thickBot="1" x14ac:dyDescent="0.4">
      <c r="V70" t="s">
        <v>375</v>
      </c>
      <c r="W70">
        <v>3.287545357743446E-2</v>
      </c>
      <c r="X70">
        <v>2.4601342355434909E-2</v>
      </c>
      <c r="Y70">
        <v>1.3363276321453101</v>
      </c>
      <c r="Z70">
        <v>0.19259584987052961</v>
      </c>
      <c r="AA70">
        <v>-1.7602331413825882E-2</v>
      </c>
      <c r="AB70">
        <v>8.335323856869481E-2</v>
      </c>
      <c r="AC70">
        <v>-1.7602331413825882E-2</v>
      </c>
      <c r="AD70">
        <v>8.335323856869481E-2</v>
      </c>
      <c r="AG70" s="88" t="s">
        <v>99</v>
      </c>
      <c r="AH70" s="88">
        <v>24</v>
      </c>
      <c r="AI70" s="88">
        <v>8.9238908611522186E-2</v>
      </c>
      <c r="AJ70" s="88"/>
      <c r="AK70" s="88"/>
      <c r="AL70" s="88"/>
    </row>
    <row r="71" spans="20:41" ht="15" thickBot="1" x14ac:dyDescent="0.4">
      <c r="V71" s="88" t="s">
        <v>376</v>
      </c>
      <c r="W71" s="88">
        <v>-7.2106156192176252E-2</v>
      </c>
      <c r="X71" s="88">
        <v>0.91098113761163291</v>
      </c>
      <c r="Y71" s="88">
        <v>-7.9152194502315101E-2</v>
      </c>
      <c r="Z71" s="88">
        <v>0.93749530299853234</v>
      </c>
      <c r="AA71" s="88">
        <v>-1.9412850542816515</v>
      </c>
      <c r="AB71" s="88">
        <v>1.7970727418972989</v>
      </c>
      <c r="AC71" s="88">
        <v>-1.9412850542816515</v>
      </c>
      <c r="AD71" s="88">
        <v>1.7970727418972989</v>
      </c>
    </row>
    <row r="72" spans="20:41" x14ac:dyDescent="0.35">
      <c r="AG72" s="89"/>
      <c r="AH72" s="89" t="s">
        <v>368</v>
      </c>
      <c r="AI72" s="89" t="s">
        <v>359</v>
      </c>
      <c r="AJ72" s="89" t="s">
        <v>369</v>
      </c>
      <c r="AK72" s="89" t="s">
        <v>370</v>
      </c>
      <c r="AL72" s="89" t="s">
        <v>371</v>
      </c>
      <c r="AM72" s="89" t="s">
        <v>372</v>
      </c>
      <c r="AN72" s="89" t="s">
        <v>373</v>
      </c>
      <c r="AO72" s="89" t="s">
        <v>374</v>
      </c>
    </row>
    <row r="73" spans="20:41" x14ac:dyDescent="0.35">
      <c r="AG73" t="s">
        <v>375</v>
      </c>
      <c r="AH73">
        <v>2.9279240787115621E-2</v>
      </c>
      <c r="AI73">
        <v>1.6990932054747124E-2</v>
      </c>
      <c r="AJ73">
        <v>1.7232274658490703</v>
      </c>
      <c r="AK73">
        <v>9.8267347031675542E-2</v>
      </c>
      <c r="AL73">
        <v>-5.8691801160499907E-3</v>
      </c>
      <c r="AM73">
        <v>6.4427661690281232E-2</v>
      </c>
      <c r="AN73">
        <v>-5.8691801160499907E-3</v>
      </c>
      <c r="AO73">
        <v>6.4427661690281232E-2</v>
      </c>
    </row>
    <row r="74" spans="20:41" ht="15" thickBot="1" x14ac:dyDescent="0.4">
      <c r="AG74" s="88" t="s">
        <v>376</v>
      </c>
      <c r="AH74" s="88">
        <v>-0.83874890749943887</v>
      </c>
      <c r="AI74" s="88">
        <v>0.81251693693567217</v>
      </c>
      <c r="AJ74" s="88">
        <v>-1.0322848292402347</v>
      </c>
      <c r="AK74" s="88">
        <v>0.31267197586353185</v>
      </c>
      <c r="AL74" s="88">
        <v>-2.5195682526857914</v>
      </c>
      <c r="AM74" s="88">
        <v>0.84207043768691381</v>
      </c>
      <c r="AN74" s="88">
        <v>-2.5195682526857914</v>
      </c>
      <c r="AO74" s="88">
        <v>0.84207043768691381</v>
      </c>
    </row>
    <row r="75" spans="20:41" x14ac:dyDescent="0.35">
      <c r="V75" t="s">
        <v>377</v>
      </c>
    </row>
    <row r="76" spans="20:41" ht="15" thickBot="1" x14ac:dyDescent="0.4"/>
    <row r="77" spans="20:41" x14ac:dyDescent="0.35">
      <c r="V77" s="89" t="s">
        <v>378</v>
      </c>
      <c r="W77" s="89" t="s">
        <v>353</v>
      </c>
      <c r="X77" s="89" t="s">
        <v>379</v>
      </c>
    </row>
    <row r="78" spans="20:41" x14ac:dyDescent="0.35">
      <c r="V78">
        <v>1</v>
      </c>
      <c r="W78">
        <v>3.0051274178742638E-2</v>
      </c>
      <c r="X78">
        <v>-1.0543448625229004E-2</v>
      </c>
      <c r="AG78" t="s">
        <v>377</v>
      </c>
    </row>
    <row r="79" spans="20:41" x14ac:dyDescent="0.35">
      <c r="V79">
        <v>2</v>
      </c>
      <c r="W79">
        <v>2.9691625685860621E-2</v>
      </c>
      <c r="X79">
        <v>9.4451871249228825E-2</v>
      </c>
    </row>
    <row r="80" spans="20:41" x14ac:dyDescent="0.35">
      <c r="T80" s="30">
        <f>AVERAGE(E3:E26)</f>
        <v>1.4000889303624541E-2</v>
      </c>
      <c r="V80">
        <v>3</v>
      </c>
      <c r="W80">
        <v>3.0583724287917044E-2</v>
      </c>
      <c r="X80">
        <v>0.35700149834596101</v>
      </c>
      <c r="AG80" t="s">
        <v>378</v>
      </c>
      <c r="AH80" t="s">
        <v>353</v>
      </c>
      <c r="AI80" t="s">
        <v>379</v>
      </c>
    </row>
    <row r="81" spans="22:35" x14ac:dyDescent="0.35">
      <c r="V81">
        <v>4</v>
      </c>
      <c r="W81">
        <v>2.7420462882360861E-2</v>
      </c>
      <c r="X81">
        <v>-7.1537169021912803E-2</v>
      </c>
      <c r="AG81">
        <v>1</v>
      </c>
      <c r="AH81">
        <v>-1.5087638405408381E-3</v>
      </c>
      <c r="AI81">
        <v>0.13206387771794245</v>
      </c>
    </row>
    <row r="82" spans="22:35" x14ac:dyDescent="0.35">
      <c r="V82">
        <v>5</v>
      </c>
      <c r="W82">
        <v>3.0228648734319088E-2</v>
      </c>
      <c r="X82">
        <v>0.10032646514308254</v>
      </c>
      <c r="AG82">
        <v>2</v>
      </c>
      <c r="AH82">
        <v>2.4408963802218023E-2</v>
      </c>
      <c r="AI82">
        <v>0.12947322142256679</v>
      </c>
    </row>
    <row r="83" spans="22:35" x14ac:dyDescent="0.35">
      <c r="V83">
        <v>6</v>
      </c>
      <c r="W83">
        <v>3.2456762179052613E-2</v>
      </c>
      <c r="X83">
        <v>0.1214254230457322</v>
      </c>
      <c r="AG83">
        <v>3</v>
      </c>
      <c r="AH83">
        <v>8.7291613275998214E-3</v>
      </c>
      <c r="AI83">
        <v>3.2513235069793131E-3</v>
      </c>
    </row>
    <row r="84" spans="22:35" x14ac:dyDescent="0.35">
      <c r="V84">
        <v>7</v>
      </c>
      <c r="W84">
        <v>3.1108789888193863E-2</v>
      </c>
      <c r="X84">
        <v>-1.9128305053614729E-2</v>
      </c>
      <c r="AG84">
        <v>4</v>
      </c>
      <c r="AH84">
        <v>1.9893698664469966E-2</v>
      </c>
      <c r="AI84">
        <v>3.0485893828143304E-2</v>
      </c>
    </row>
    <row r="85" spans="22:35" x14ac:dyDescent="0.35">
      <c r="V85">
        <v>8</v>
      </c>
      <c r="W85">
        <v>3.2068590688919534E-2</v>
      </c>
      <c r="X85">
        <v>1.8311001803693737E-2</v>
      </c>
      <c r="AG85">
        <v>5</v>
      </c>
      <c r="AH85">
        <v>2.9122910231691876E-2</v>
      </c>
      <c r="AI85">
        <v>4.7603074076834617E-3</v>
      </c>
    </row>
    <row r="86" spans="22:35" x14ac:dyDescent="0.35">
      <c r="V86">
        <v>9</v>
      </c>
      <c r="W86">
        <v>3.2862014042257477E-2</v>
      </c>
      <c r="X86">
        <v>1.0212035971178604E-3</v>
      </c>
      <c r="AG86">
        <v>6</v>
      </c>
      <c r="AH86">
        <v>1.1700213344454327E-2</v>
      </c>
      <c r="AI86">
        <v>-2.873137714186462E-2</v>
      </c>
    </row>
    <row r="87" spans="22:35" x14ac:dyDescent="0.35">
      <c r="V87">
        <v>10</v>
      </c>
      <c r="W87">
        <v>3.136420737829955E-2</v>
      </c>
      <c r="X87">
        <v>-4.8395371175709842E-2</v>
      </c>
      <c r="AG87">
        <v>7</v>
      </c>
      <c r="AH87">
        <v>3.9356699259730545E-3</v>
      </c>
      <c r="AI87">
        <v>-7.2396875511505435E-2</v>
      </c>
    </row>
    <row r="88" spans="22:35" x14ac:dyDescent="0.35">
      <c r="V88">
        <v>11</v>
      </c>
      <c r="W88">
        <v>3.0696699646858096E-2</v>
      </c>
      <c r="X88">
        <v>-9.9157905232390486E-2</v>
      </c>
      <c r="AG88">
        <v>8</v>
      </c>
      <c r="AH88">
        <v>1.092169191319263E-2</v>
      </c>
      <c r="AI88">
        <v>-0.11159312440792407</v>
      </c>
    </row>
    <row r="89" spans="22:35" x14ac:dyDescent="0.35">
      <c r="V89">
        <v>12</v>
      </c>
      <c r="W89">
        <v>3.1297278900158369E-2</v>
      </c>
      <c r="X89">
        <v>-0.1319687113948898</v>
      </c>
      <c r="AG89">
        <v>9</v>
      </c>
      <c r="AH89">
        <v>2.8893291608764714E-2</v>
      </c>
      <c r="AI89">
        <v>-6.8441876582859495E-2</v>
      </c>
    </row>
    <row r="90" spans="22:35" x14ac:dyDescent="0.35">
      <c r="V90">
        <v>13</v>
      </c>
      <c r="W90">
        <v>3.2842274026930629E-2</v>
      </c>
      <c r="X90">
        <v>-7.2390859001025404E-2</v>
      </c>
      <c r="AG90">
        <v>10</v>
      </c>
      <c r="AH90">
        <v>-6.433701030321981E-3</v>
      </c>
      <c r="AI90">
        <v>8.2159149682347166E-2</v>
      </c>
    </row>
    <row r="91" spans="22:35" x14ac:dyDescent="0.35">
      <c r="V91">
        <v>14</v>
      </c>
      <c r="W91">
        <v>2.9805258268986942E-2</v>
      </c>
      <c r="X91">
        <v>4.592019038303824E-2</v>
      </c>
      <c r="AG91">
        <v>11</v>
      </c>
      <c r="AH91">
        <v>-9.2268791076997383E-3</v>
      </c>
      <c r="AI91">
        <v>-4.4674988827009834E-2</v>
      </c>
    </row>
    <row r="92" spans="22:35" x14ac:dyDescent="0.35">
      <c r="V92">
        <v>15</v>
      </c>
      <c r="W92">
        <v>2.9565132370855625E-2</v>
      </c>
      <c r="X92">
        <v>-8.3467000305565198E-2</v>
      </c>
      <c r="AG92">
        <v>12</v>
      </c>
      <c r="AH92">
        <v>1.1538826774676162E-2</v>
      </c>
      <c r="AI92">
        <v>-5.3198359105367521E-2</v>
      </c>
    </row>
    <row r="93" spans="22:35" x14ac:dyDescent="0.35">
      <c r="V93">
        <v>16</v>
      </c>
      <c r="W93">
        <v>3.1350333184123322E-2</v>
      </c>
      <c r="X93">
        <v>-7.300986551481467E-2</v>
      </c>
      <c r="AG93">
        <v>13</v>
      </c>
      <c r="AH93">
        <v>1.6582363811188994E-2</v>
      </c>
      <c r="AI93">
        <v>-4.4726128328841375E-2</v>
      </c>
    </row>
    <row r="94" spans="22:35" x14ac:dyDescent="0.35">
      <c r="V94">
        <v>17</v>
      </c>
      <c r="W94">
        <v>3.1783919524521698E-2</v>
      </c>
      <c r="X94">
        <v>-5.9927684042174079E-2</v>
      </c>
      <c r="AG94">
        <v>14</v>
      </c>
      <c r="AH94">
        <v>2.1409998910616682E-2</v>
      </c>
      <c r="AI94">
        <v>-7.3868120571064927E-3</v>
      </c>
    </row>
    <row r="95" spans="22:35" x14ac:dyDescent="0.35">
      <c r="V95">
        <v>18</v>
      </c>
      <c r="W95">
        <v>3.2198945055292243E-2</v>
      </c>
      <c r="X95">
        <v>-1.8175758201782053E-2</v>
      </c>
      <c r="AG95">
        <v>15</v>
      </c>
      <c r="AH95">
        <v>2.0038604003807477E-2</v>
      </c>
      <c r="AI95">
        <v>2.3377828752165909E-2</v>
      </c>
    </row>
    <row r="96" spans="22:35" x14ac:dyDescent="0.35">
      <c r="V96">
        <v>19</v>
      </c>
      <c r="W96">
        <v>3.2081048013081662E-2</v>
      </c>
      <c r="X96">
        <v>1.1335384742891724E-2</v>
      </c>
      <c r="AG96">
        <v>16</v>
      </c>
      <c r="AH96">
        <v>1.2973430109428953E-2</v>
      </c>
      <c r="AI96">
        <v>1.22144573586783E-2</v>
      </c>
    </row>
    <row r="97" spans="22:35" x14ac:dyDescent="0.35">
      <c r="V97">
        <v>20</v>
      </c>
      <c r="W97">
        <v>3.1473664172938433E-2</v>
      </c>
      <c r="X97">
        <v>-6.2857767048311794E-3</v>
      </c>
      <c r="AG97">
        <v>17</v>
      </c>
      <c r="AH97">
        <v>2.46249632894023E-2</v>
      </c>
      <c r="AI97">
        <v>2.0537754519498339E-2</v>
      </c>
    </row>
    <row r="98" spans="22:35" x14ac:dyDescent="0.35">
      <c r="V98">
        <v>21</v>
      </c>
      <c r="W98">
        <v>3.2475331374936009E-2</v>
      </c>
      <c r="X98">
        <v>1.268738643396463E-2</v>
      </c>
      <c r="AG98">
        <v>18</v>
      </c>
      <c r="AH98">
        <v>2.9344547251650237E-2</v>
      </c>
      <c r="AI98">
        <v>2.9063507825200088E-2</v>
      </c>
    </row>
    <row r="99" spans="22:35" x14ac:dyDescent="0.35">
      <c r="V99">
        <v>22</v>
      </c>
      <c r="W99">
        <v>3.2881067889524752E-2</v>
      </c>
      <c r="X99">
        <v>2.5526987187325573E-2</v>
      </c>
      <c r="AG99">
        <v>19</v>
      </c>
      <c r="AH99">
        <v>2.3340926909333842E-2</v>
      </c>
      <c r="AI99">
        <v>2.08198205255739E-2</v>
      </c>
    </row>
    <row r="100" spans="22:35" x14ac:dyDescent="0.35">
      <c r="V100">
        <v>23</v>
      </c>
      <c r="W100">
        <v>3.2364944432014459E-2</v>
      </c>
      <c r="X100">
        <v>1.1795803002893283E-2</v>
      </c>
      <c r="AG100">
        <v>20</v>
      </c>
      <c r="AH100">
        <v>5.8076089248650965E-3</v>
      </c>
      <c r="AI100">
        <v>-2.6093710396533298E-2</v>
      </c>
    </row>
    <row r="101" spans="22:35" x14ac:dyDescent="0.35">
      <c r="V101">
        <v>24</v>
      </c>
      <c r="W101">
        <v>3.08576278157409E-2</v>
      </c>
      <c r="X101">
        <v>-5.1143729287409102E-2</v>
      </c>
      <c r="AG101">
        <v>21</v>
      </c>
      <c r="AH101">
        <v>2.4502279625072561E-2</v>
      </c>
      <c r="AI101">
        <v>-6.4301907967966809E-2</v>
      </c>
    </row>
    <row r="102" spans="22:35" x14ac:dyDescent="0.35">
      <c r="V102">
        <v>25</v>
      </c>
      <c r="W102">
        <v>3.2464784419365282E-2</v>
      </c>
      <c r="X102">
        <v>-7.2264412762259533E-2</v>
      </c>
      <c r="AG102">
        <v>22</v>
      </c>
      <c r="AH102">
        <v>1.9671808788897606E-2</v>
      </c>
      <c r="AI102">
        <v>-2.2384608761971493E-2</v>
      </c>
    </row>
    <row r="103" spans="22:35" x14ac:dyDescent="0.35">
      <c r="V103">
        <v>26</v>
      </c>
      <c r="W103">
        <v>3.2049515103982934E-2</v>
      </c>
      <c r="X103">
        <v>-3.4762315077056821E-2</v>
      </c>
      <c r="AG103">
        <v>23</v>
      </c>
      <c r="AH103">
        <v>3.5453253097953975E-2</v>
      </c>
      <c r="AI103">
        <v>6.8581791990873719E-2</v>
      </c>
    </row>
    <row r="104" spans="22:35" x14ac:dyDescent="0.35">
      <c r="V104">
        <v>27</v>
      </c>
      <c r="W104">
        <v>3.3406225411576049E-2</v>
      </c>
      <c r="X104">
        <v>7.0628819677251653E-2</v>
      </c>
      <c r="AG104">
        <v>24</v>
      </c>
      <c r="AH104">
        <v>4.6221853409206586E-2</v>
      </c>
      <c r="AI104">
        <v>-2.6266483984207466E-2</v>
      </c>
    </row>
    <row r="105" spans="22:35" x14ac:dyDescent="0.35">
      <c r="V105">
        <v>28</v>
      </c>
      <c r="W105">
        <v>3.4331988019516993E-2</v>
      </c>
      <c r="X105">
        <v>-1.4376618594517873E-2</v>
      </c>
      <c r="AG105">
        <v>25</v>
      </c>
      <c r="AH105">
        <v>1.428171234841389E-2</v>
      </c>
      <c r="AI105">
        <v>1.3407318535505194E-2</v>
      </c>
    </row>
    <row r="106" spans="22:35" ht="15" thickBot="1" x14ac:dyDescent="0.4">
      <c r="V106" s="88">
        <v>29</v>
      </c>
      <c r="W106" s="88">
        <v>3.1586135500917795E-2</v>
      </c>
      <c r="X106" s="88">
        <v>-3.897104616998711E-3</v>
      </c>
      <c r="AG106">
        <v>26</v>
      </c>
      <c r="AH106">
        <v>3.2192461518787886E-2</v>
      </c>
      <c r="AI106">
        <v>-3.4905261491861773E-2</v>
      </c>
    </row>
    <row r="107" spans="22:35" x14ac:dyDescent="0.35">
      <c r="AG107">
        <v>27</v>
      </c>
      <c r="AH107">
        <v>3.3558323635661434E-2</v>
      </c>
      <c r="AI107">
        <v>7.0476721453166274E-2</v>
      </c>
    </row>
    <row r="108" spans="22:35" ht="15" thickBot="1" x14ac:dyDescent="0.4">
      <c r="AG108" s="88">
        <v>28</v>
      </c>
      <c r="AH108" s="88">
        <v>3.4490331057089402E-2</v>
      </c>
      <c r="AI108" s="88">
        <v>-1.4534961632090282E-2</v>
      </c>
    </row>
  </sheetData>
  <mergeCells count="4">
    <mergeCell ref="C1:D1"/>
    <mergeCell ref="P39:P40"/>
    <mergeCell ref="Q39:R39"/>
    <mergeCell ref="Q43:R43"/>
  </mergeCells>
  <conditionalFormatting sqref="E27:Q33 S28:T28">
    <cfRule type="expression" dxfId="11" priority="2">
      <formula>MOD(ROW(),2)</formula>
    </cfRule>
  </conditionalFormatting>
  <conditionalFormatting sqref="E3:S26">
    <cfRule type="expression" dxfId="10" priority="1">
      <formula>MOD(ROW(),2)</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21C50-9429-45EB-9CD8-B7111936A154}">
  <dimension ref="A1:R49"/>
  <sheetViews>
    <sheetView workbookViewId="0">
      <selection activeCell="F5" sqref="F5:F27"/>
    </sheetView>
  </sheetViews>
  <sheetFormatPr defaultRowHeight="14.5" x14ac:dyDescent="0.35"/>
  <cols>
    <col min="5" max="5" width="27.1796875" bestFit="1" customWidth="1"/>
    <col min="6" max="6" width="16.1796875" bestFit="1" customWidth="1"/>
    <col min="14" max="14" width="11.81640625" bestFit="1" customWidth="1"/>
  </cols>
  <sheetData>
    <row r="1" spans="1:18" x14ac:dyDescent="0.35">
      <c r="C1" t="s">
        <v>519</v>
      </c>
      <c r="D1" t="s">
        <v>520</v>
      </c>
    </row>
    <row r="2" spans="1:18" s="56" customFormat="1" ht="38.5" customHeight="1" x14ac:dyDescent="0.35">
      <c r="B2" s="56" t="s">
        <v>21</v>
      </c>
      <c r="C2" s="56" t="s">
        <v>285</v>
      </c>
      <c r="D2" s="56" t="s">
        <v>22</v>
      </c>
      <c r="E2" s="56" t="s">
        <v>351</v>
      </c>
      <c r="F2" s="56" t="s">
        <v>352</v>
      </c>
      <c r="J2" t="s">
        <v>354</v>
      </c>
      <c r="K2"/>
      <c r="L2"/>
      <c r="M2"/>
      <c r="N2"/>
      <c r="O2"/>
      <c r="P2"/>
      <c r="Q2"/>
      <c r="R2"/>
    </row>
    <row r="3" spans="1:18" ht="15" thickBot="1" x14ac:dyDescent="0.4">
      <c r="A3">
        <v>2000</v>
      </c>
      <c r="B3">
        <v>44.741666666666667</v>
      </c>
      <c r="C3" s="87">
        <v>6.2358333333333329</v>
      </c>
      <c r="D3">
        <v>9</v>
      </c>
    </row>
    <row r="4" spans="1:18" x14ac:dyDescent="0.35">
      <c r="A4">
        <v>2001</v>
      </c>
      <c r="B4">
        <v>51.035416666666663</v>
      </c>
      <c r="C4" s="87">
        <v>3.8875000000000002</v>
      </c>
      <c r="D4">
        <v>13.5</v>
      </c>
      <c r="E4" s="54">
        <f>((1+D3%)/(1+C3%))-1</f>
        <v>2.6019155495242696E-2</v>
      </c>
      <c r="F4" s="54">
        <f>(B4-B3)/B3</f>
        <v>0.14066865338051768</v>
      </c>
      <c r="J4" s="90" t="s">
        <v>355</v>
      </c>
      <c r="K4" s="90"/>
    </row>
    <row r="5" spans="1:18" x14ac:dyDescent="0.35">
      <c r="A5">
        <v>2002</v>
      </c>
      <c r="B5">
        <v>51.68333333333333</v>
      </c>
      <c r="C5" s="87">
        <v>1.6666666666666667</v>
      </c>
      <c r="D5">
        <v>7</v>
      </c>
      <c r="E5" s="54">
        <f t="shared" ref="E5:E34" si="0">((1+D4%)/(1+C4%))-1</f>
        <v>9.2527974972927529E-2</v>
      </c>
      <c r="F5" s="54">
        <f t="shared" ref="F5:F34" si="1">(B5-B4)/B4</f>
        <v>1.2695432093725773E-2</v>
      </c>
      <c r="J5" t="s">
        <v>356</v>
      </c>
      <c r="K5">
        <v>1.7595524555718639E-2</v>
      </c>
    </row>
    <row r="6" spans="1:18" x14ac:dyDescent="0.35">
      <c r="A6">
        <v>2003</v>
      </c>
      <c r="B6">
        <v>54.354166666666657</v>
      </c>
      <c r="C6" s="87">
        <v>1.1274999999999999</v>
      </c>
      <c r="D6">
        <v>7</v>
      </c>
      <c r="E6" s="54">
        <f t="shared" si="0"/>
        <v>5.2459016393442637E-2</v>
      </c>
      <c r="F6" s="54">
        <f t="shared" si="1"/>
        <v>5.167687842631398E-2</v>
      </c>
      <c r="J6" t="s">
        <v>357</v>
      </c>
      <c r="K6">
        <v>3.0960248439089759E-4</v>
      </c>
    </row>
    <row r="7" spans="1:18" x14ac:dyDescent="0.35">
      <c r="A7">
        <v>2004</v>
      </c>
      <c r="B7">
        <v>56.086666666666666</v>
      </c>
      <c r="C7" s="87">
        <v>1.3491666666666666</v>
      </c>
      <c r="D7">
        <v>6.75</v>
      </c>
      <c r="E7" s="54">
        <f t="shared" si="0"/>
        <v>5.807025784282227E-2</v>
      </c>
      <c r="F7" s="54">
        <f t="shared" si="1"/>
        <v>3.1874281333844554E-2</v>
      </c>
      <c r="J7" t="s">
        <v>358</v>
      </c>
      <c r="K7">
        <v>-4.5130870129954974E-2</v>
      </c>
    </row>
    <row r="8" spans="1:18" x14ac:dyDescent="0.35">
      <c r="A8">
        <v>2005</v>
      </c>
      <c r="B8">
        <v>54.955416666666657</v>
      </c>
      <c r="C8" s="87">
        <v>3.2133333333333334</v>
      </c>
      <c r="D8">
        <v>6.75</v>
      </c>
      <c r="E8" s="54">
        <f t="shared" si="0"/>
        <v>5.3289370904217259E-2</v>
      </c>
      <c r="F8" s="54">
        <f t="shared" si="1"/>
        <v>-2.0169677879472398E-2</v>
      </c>
      <c r="J8" t="s">
        <v>359</v>
      </c>
      <c r="K8">
        <v>5.6956454034926891E-2</v>
      </c>
    </row>
    <row r="9" spans="1:18" ht="15" thickBot="1" x14ac:dyDescent="0.4">
      <c r="A9">
        <v>2006</v>
      </c>
      <c r="B9">
        <v>51.109999999999992</v>
      </c>
      <c r="C9" s="87">
        <v>4.9641666666666664</v>
      </c>
      <c r="D9">
        <v>6.75</v>
      </c>
      <c r="E9" s="54">
        <f t="shared" si="0"/>
        <v>3.4265598759850135E-2</v>
      </c>
      <c r="F9" s="54">
        <f t="shared" si="1"/>
        <v>-6.9973387518670424E-2</v>
      </c>
      <c r="J9" s="88" t="s">
        <v>360</v>
      </c>
      <c r="K9" s="88">
        <v>24</v>
      </c>
    </row>
    <row r="10" spans="1:18" x14ac:dyDescent="0.35">
      <c r="A10">
        <v>2007</v>
      </c>
      <c r="B10">
        <v>45.768333333333338</v>
      </c>
      <c r="C10" s="87">
        <v>5.019166666666667</v>
      </c>
      <c r="D10">
        <v>7</v>
      </c>
      <c r="E10" s="54">
        <f t="shared" si="0"/>
        <v>1.7013742785236152E-2</v>
      </c>
      <c r="F10" s="54">
        <f t="shared" si="1"/>
        <v>-0.10451314159003434</v>
      </c>
    </row>
    <row r="11" spans="1:18" ht="15" thickBot="1" x14ac:dyDescent="0.4">
      <c r="A11">
        <v>2008</v>
      </c>
      <c r="B11">
        <v>44.662083333333328</v>
      </c>
      <c r="C11" s="87">
        <v>1.9275</v>
      </c>
      <c r="D11">
        <v>6</v>
      </c>
      <c r="E11" s="54">
        <f t="shared" si="0"/>
        <v>1.8861636367964563E-2</v>
      </c>
      <c r="F11" s="54">
        <f t="shared" si="1"/>
        <v>-2.4170642001383996E-2</v>
      </c>
      <c r="J11" t="s">
        <v>361</v>
      </c>
    </row>
    <row r="12" spans="1:18" x14ac:dyDescent="0.35">
      <c r="A12">
        <v>2009</v>
      </c>
      <c r="B12">
        <v>47.694583333333334</v>
      </c>
      <c r="C12" s="87">
        <v>0.16</v>
      </c>
      <c r="D12">
        <v>4.5</v>
      </c>
      <c r="E12" s="54">
        <f t="shared" si="0"/>
        <v>3.9954869883005228E-2</v>
      </c>
      <c r="F12" s="54">
        <f t="shared" si="1"/>
        <v>6.7898758268106013E-2</v>
      </c>
      <c r="J12" s="89"/>
      <c r="K12" s="89" t="s">
        <v>362</v>
      </c>
      <c r="L12" s="89" t="s">
        <v>288</v>
      </c>
      <c r="M12" s="89" t="s">
        <v>363</v>
      </c>
      <c r="N12" s="89" t="s">
        <v>364</v>
      </c>
      <c r="O12" s="89" t="s">
        <v>365</v>
      </c>
    </row>
    <row r="13" spans="1:18" x14ac:dyDescent="0.35">
      <c r="A13">
        <v>2010</v>
      </c>
      <c r="B13">
        <v>45.011250000000011</v>
      </c>
      <c r="C13" s="87">
        <v>0.17499999999999999</v>
      </c>
      <c r="D13">
        <v>4</v>
      </c>
      <c r="E13" s="54">
        <f t="shared" si="0"/>
        <v>4.3330670926517545E-2</v>
      </c>
      <c r="F13" s="54">
        <f t="shared" si="1"/>
        <v>-5.6260756375199623E-2</v>
      </c>
      <c r="J13" t="s">
        <v>366</v>
      </c>
      <c r="K13">
        <v>1</v>
      </c>
      <c r="L13">
        <v>2.2102809676988189E-5</v>
      </c>
      <c r="M13">
        <v>2.2102809676988189E-5</v>
      </c>
      <c r="N13">
        <v>6.8133640910493952E-3</v>
      </c>
      <c r="O13">
        <v>0.93496126300698468</v>
      </c>
    </row>
    <row r="14" spans="1:18" x14ac:dyDescent="0.35">
      <c r="A14">
        <v>2011</v>
      </c>
      <c r="B14">
        <v>43.230416666666663</v>
      </c>
      <c r="C14" s="87">
        <v>0.10166666666666667</v>
      </c>
      <c r="D14">
        <v>4.5</v>
      </c>
      <c r="E14" s="54">
        <f t="shared" si="0"/>
        <v>3.8183179435987036E-2</v>
      </c>
      <c r="F14" s="54">
        <f t="shared" si="1"/>
        <v>-3.956418302831731E-2</v>
      </c>
      <c r="J14" t="s">
        <v>367</v>
      </c>
      <c r="K14">
        <v>22</v>
      </c>
      <c r="L14">
        <v>7.1368828437120266E-2</v>
      </c>
      <c r="M14">
        <v>3.2440376562327396E-3</v>
      </c>
    </row>
    <row r="15" spans="1:18" ht="15" thickBot="1" x14ac:dyDescent="0.4">
      <c r="A15">
        <v>2012</v>
      </c>
      <c r="B15">
        <v>42.013750000000002</v>
      </c>
      <c r="C15" s="87">
        <v>0.14000000000000001</v>
      </c>
      <c r="D15">
        <v>4</v>
      </c>
      <c r="E15" s="54">
        <f t="shared" si="0"/>
        <v>4.3938662359934044E-2</v>
      </c>
      <c r="F15" s="54">
        <f t="shared" si="1"/>
        <v>-2.8143764517652384E-2</v>
      </c>
      <c r="J15" s="88" t="s">
        <v>99</v>
      </c>
      <c r="K15" s="88">
        <v>23</v>
      </c>
      <c r="L15" s="88">
        <v>7.1390931246797254E-2</v>
      </c>
      <c r="M15" s="88"/>
      <c r="N15" s="88"/>
      <c r="O15" s="88"/>
    </row>
    <row r="16" spans="1:18" ht="15" thickBot="1" x14ac:dyDescent="0.4">
      <c r="A16">
        <v>2013</v>
      </c>
      <c r="B16">
        <v>42.602916666666665</v>
      </c>
      <c r="C16" s="87">
        <v>0.1075</v>
      </c>
      <c r="D16">
        <v>3.5</v>
      </c>
      <c r="E16" s="54">
        <f t="shared" si="0"/>
        <v>3.8546035550229618E-2</v>
      </c>
      <c r="F16" s="54">
        <f t="shared" si="1"/>
        <v>1.402318685351019E-2</v>
      </c>
    </row>
    <row r="17" spans="1:18" x14ac:dyDescent="0.35">
      <c r="A17">
        <v>2014</v>
      </c>
      <c r="B17">
        <v>44.452583333333337</v>
      </c>
      <c r="C17" s="87">
        <v>8.9166666666666672E-2</v>
      </c>
      <c r="D17">
        <v>3.5</v>
      </c>
      <c r="E17" s="54">
        <f t="shared" si="0"/>
        <v>3.3888569787478451E-2</v>
      </c>
      <c r="F17" s="54">
        <f t="shared" si="1"/>
        <v>4.3416432755973386E-2</v>
      </c>
      <c r="J17" s="89"/>
      <c r="K17" s="89" t="s">
        <v>368</v>
      </c>
      <c r="L17" s="89" t="s">
        <v>359</v>
      </c>
      <c r="M17" s="89" t="s">
        <v>369</v>
      </c>
      <c r="N17" s="89" t="s">
        <v>370</v>
      </c>
      <c r="O17" s="89" t="s">
        <v>371</v>
      </c>
      <c r="P17" s="89" t="s">
        <v>372</v>
      </c>
      <c r="Q17" s="89" t="s">
        <v>373</v>
      </c>
      <c r="R17" s="89" t="s">
        <v>374</v>
      </c>
    </row>
    <row r="18" spans="1:18" x14ac:dyDescent="0.35">
      <c r="A18">
        <v>2015</v>
      </c>
      <c r="B18">
        <v>45.572249999999997</v>
      </c>
      <c r="C18" s="87">
        <v>0.13250000000000001</v>
      </c>
      <c r="D18">
        <v>4</v>
      </c>
      <c r="E18" s="54">
        <f t="shared" si="0"/>
        <v>3.4077947163778877E-2</v>
      </c>
      <c r="F18" s="54">
        <f t="shared" si="1"/>
        <v>2.5187887468107253E-2</v>
      </c>
      <c r="J18" t="s">
        <v>375</v>
      </c>
      <c r="K18">
        <v>9.8988140217977326E-3</v>
      </c>
      <c r="L18">
        <v>2.4929562295396987E-2</v>
      </c>
      <c r="M18">
        <v>0.39707131254468342</v>
      </c>
      <c r="N18">
        <v>0.69514077908013083</v>
      </c>
      <c r="O18">
        <v>-4.1801933817261744E-2</v>
      </c>
      <c r="P18">
        <v>6.1599561860857216E-2</v>
      </c>
      <c r="Q18">
        <v>-4.1801933817261744E-2</v>
      </c>
      <c r="R18">
        <v>6.1599561860857216E-2</v>
      </c>
    </row>
    <row r="19" spans="1:18" ht="15" thickBot="1" x14ac:dyDescent="0.4">
      <c r="A19">
        <v>2016</v>
      </c>
      <c r="B19">
        <v>47.630416666666669</v>
      </c>
      <c r="C19" s="87">
        <v>0.39500000000000002</v>
      </c>
      <c r="D19">
        <v>3.5</v>
      </c>
      <c r="E19" s="54">
        <f t="shared" si="0"/>
        <v>3.8623823433949989E-2</v>
      </c>
      <c r="F19" s="54">
        <f t="shared" si="1"/>
        <v>4.5162717808900639E-2</v>
      </c>
      <c r="J19" s="88" t="s">
        <v>376</v>
      </c>
      <c r="K19" s="88">
        <v>5.3560124393289076E-2</v>
      </c>
      <c r="L19" s="88">
        <v>0.64887460624194604</v>
      </c>
      <c r="M19" s="88">
        <v>8.2543104442768245E-2</v>
      </c>
      <c r="N19" s="88">
        <v>0.93496126300698301</v>
      </c>
      <c r="O19" s="88">
        <v>-1.2921234459387123</v>
      </c>
      <c r="P19" s="88">
        <v>1.3992436947252904</v>
      </c>
      <c r="Q19" s="88">
        <v>-1.2921234459387123</v>
      </c>
      <c r="R19" s="88">
        <v>1.3992436947252904</v>
      </c>
    </row>
    <row r="20" spans="1:18" x14ac:dyDescent="0.35">
      <c r="A20">
        <v>2017</v>
      </c>
      <c r="B20">
        <v>50.412416666666665</v>
      </c>
      <c r="C20" s="87">
        <v>1.0016666666666667</v>
      </c>
      <c r="D20">
        <v>3</v>
      </c>
      <c r="E20" s="54">
        <f t="shared" si="0"/>
        <v>3.0927835051546504E-2</v>
      </c>
      <c r="F20" s="54">
        <f t="shared" si="1"/>
        <v>5.8408055076850325E-2</v>
      </c>
    </row>
    <row r="21" spans="1:18" x14ac:dyDescent="0.35">
      <c r="A21">
        <v>2018</v>
      </c>
      <c r="B21">
        <v>52.638666666666666</v>
      </c>
      <c r="C21" s="87">
        <v>1.8316666666666668</v>
      </c>
      <c r="D21">
        <v>3</v>
      </c>
      <c r="E21" s="54">
        <f t="shared" si="0"/>
        <v>1.9785152060197264E-2</v>
      </c>
      <c r="F21" s="54">
        <f t="shared" si="1"/>
        <v>4.4160747434907742E-2</v>
      </c>
    </row>
    <row r="22" spans="1:18" x14ac:dyDescent="0.35">
      <c r="A22">
        <v>2019</v>
      </c>
      <c r="B22">
        <v>51.570833333333347</v>
      </c>
      <c r="C22" s="87">
        <v>2.1583333333333332</v>
      </c>
      <c r="D22">
        <v>4.25</v>
      </c>
      <c r="E22" s="54">
        <f t="shared" si="0"/>
        <v>1.1473182867149934E-2</v>
      </c>
      <c r="F22" s="54">
        <f t="shared" si="1"/>
        <v>-2.0286101471668202E-2</v>
      </c>
    </row>
    <row r="23" spans="1:18" x14ac:dyDescent="0.35">
      <c r="A23">
        <v>2020</v>
      </c>
      <c r="B23">
        <v>49.518333333333338</v>
      </c>
      <c r="C23" s="87">
        <v>0.37583333333333335</v>
      </c>
      <c r="D23">
        <v>3</v>
      </c>
      <c r="E23" s="54">
        <f t="shared" si="0"/>
        <v>2.0474753242515797E-2</v>
      </c>
      <c r="F23" s="54">
        <f t="shared" si="1"/>
        <v>-3.9799628342894244E-2</v>
      </c>
      <c r="J23" t="s">
        <v>377</v>
      </c>
    </row>
    <row r="24" spans="1:18" ht="15" thickBot="1" x14ac:dyDescent="0.4">
      <c r="A24">
        <v>2021</v>
      </c>
      <c r="B24">
        <v>49.384000000000007</v>
      </c>
      <c r="C24" s="87">
        <v>0.08</v>
      </c>
      <c r="D24">
        <v>2</v>
      </c>
      <c r="E24" s="54">
        <f t="shared" si="0"/>
        <v>2.6143411013607176E-2</v>
      </c>
      <c r="F24" s="54">
        <f t="shared" si="1"/>
        <v>-2.7127999730738889E-3</v>
      </c>
    </row>
    <row r="25" spans="1:18" x14ac:dyDescent="0.35">
      <c r="A25">
        <v>2022</v>
      </c>
      <c r="B25">
        <v>54.521666666666675</v>
      </c>
      <c r="C25" s="87">
        <v>1.6833333333333333</v>
      </c>
      <c r="D25">
        <v>3</v>
      </c>
      <c r="E25" s="54">
        <f t="shared" si="0"/>
        <v>1.9184652278177561E-2</v>
      </c>
      <c r="F25" s="54">
        <f t="shared" si="1"/>
        <v>0.1040350450888277</v>
      </c>
      <c r="J25" s="89" t="s">
        <v>378</v>
      </c>
      <c r="K25" s="89" t="s">
        <v>353</v>
      </c>
      <c r="L25" s="89" t="s">
        <v>379</v>
      </c>
    </row>
    <row r="26" spans="1:18" x14ac:dyDescent="0.35">
      <c r="A26">
        <v>2023</v>
      </c>
      <c r="B26">
        <v>55.609666666666669</v>
      </c>
      <c r="C26" s="87">
        <v>5.0241666666666669</v>
      </c>
      <c r="D26">
        <v>6.25</v>
      </c>
      <c r="E26" s="54">
        <f t="shared" si="0"/>
        <v>1.2948696934928838E-2</v>
      </c>
      <c r="F26" s="54">
        <f t="shared" si="1"/>
        <v>1.995536942499912E-2</v>
      </c>
      <c r="J26">
        <v>1</v>
      </c>
      <c r="K26">
        <v>1.1292403226731262E-2</v>
      </c>
      <c r="L26">
        <v>0.12937625015378643</v>
      </c>
    </row>
    <row r="27" spans="1:18" x14ac:dyDescent="0.35">
      <c r="A27">
        <v>2024</v>
      </c>
      <c r="B27">
        <v>57.149444444444448</v>
      </c>
      <c r="C27" s="86">
        <v>5.5</v>
      </c>
      <c r="D27">
        <v>6.5</v>
      </c>
      <c r="E27" s="54">
        <f t="shared" si="0"/>
        <v>1.1671916781058167E-2</v>
      </c>
      <c r="F27" s="54">
        <f t="shared" si="1"/>
        <v>2.7689030883919084E-2</v>
      </c>
      <c r="J27">
        <v>2</v>
      </c>
      <c r="K27">
        <v>1.485462387120687E-2</v>
      </c>
      <c r="L27">
        <v>-2.1591917774810964E-3</v>
      </c>
    </row>
    <row r="28" spans="1:18" x14ac:dyDescent="0.35">
      <c r="A28" s="91">
        <v>2025</v>
      </c>
      <c r="B28" s="91">
        <f>B27*(1+G28)</f>
        <v>57.74416973378036</v>
      </c>
      <c r="C28" s="87">
        <v>3.25</v>
      </c>
      <c r="D28">
        <v>4</v>
      </c>
      <c r="E28" s="54">
        <f t="shared" si="0"/>
        <v>9.4786729857820884E-3</v>
      </c>
      <c r="F28" s="54">
        <f t="shared" si="1"/>
        <v>1.040649292599949E-2</v>
      </c>
      <c r="G28" s="92">
        <f>E28*$K$19+$K$18</f>
        <v>1.040649292599953E-2</v>
      </c>
      <c r="J28">
        <v>3</v>
      </c>
      <c r="K28">
        <v>1.2708525465380111E-2</v>
      </c>
      <c r="L28">
        <v>3.8968352960933872E-2</v>
      </c>
    </row>
    <row r="29" spans="1:18" x14ac:dyDescent="0.35">
      <c r="A29" s="91">
        <v>2026</v>
      </c>
      <c r="B29" s="91">
        <f t="shared" ref="B29:B34" si="2">B28*(1+G29)</f>
        <v>58.338234280798289</v>
      </c>
      <c r="C29" s="87">
        <v>2</v>
      </c>
      <c r="D29">
        <v>4</v>
      </c>
      <c r="E29" s="54">
        <f t="shared" si="0"/>
        <v>7.2639225181598821E-3</v>
      </c>
      <c r="F29" s="54">
        <f t="shared" si="1"/>
        <v>1.0287870615453687E-2</v>
      </c>
      <c r="G29" s="92">
        <f t="shared" ref="G29:G34" si="3">E29*$K$19+$K$18</f>
        <v>1.028787061545359E-2</v>
      </c>
      <c r="J29">
        <v>4</v>
      </c>
      <c r="K29">
        <v>1.3009064255409663E-2</v>
      </c>
      <c r="L29">
        <v>1.8865217078434891E-2</v>
      </c>
    </row>
    <row r="30" spans="1:18" x14ac:dyDescent="0.35">
      <c r="A30" s="91">
        <v>2027</v>
      </c>
      <c r="B30" s="91">
        <f t="shared" si="2"/>
        <v>58.976980339460141</v>
      </c>
      <c r="C30" s="87">
        <v>2</v>
      </c>
      <c r="D30">
        <v>4</v>
      </c>
      <c r="E30" s="54">
        <f t="shared" si="0"/>
        <v>1.9607843137254832E-2</v>
      </c>
      <c r="F30" s="54">
        <f t="shared" si="1"/>
        <v>1.0949012539313199E-2</v>
      </c>
      <c r="G30" s="92">
        <f t="shared" si="3"/>
        <v>1.0949012539313201E-2</v>
      </c>
      <c r="J30">
        <v>5</v>
      </c>
      <c r="K30">
        <v>1.2752999356267728E-2</v>
      </c>
      <c r="L30">
        <v>-3.2922677235740126E-2</v>
      </c>
    </row>
    <row r="31" spans="1:18" x14ac:dyDescent="0.35">
      <c r="A31" s="91">
        <v>2028</v>
      </c>
      <c r="B31" s="91">
        <f t="shared" si="2"/>
        <v>59.622720036727721</v>
      </c>
      <c r="C31" s="87">
        <v>2</v>
      </c>
      <c r="D31">
        <v>4</v>
      </c>
      <c r="E31" s="54">
        <f t="shared" si="0"/>
        <v>1.9607843137254832E-2</v>
      </c>
      <c r="F31" s="54">
        <f t="shared" si="1"/>
        <v>1.0949012539313241E-2</v>
      </c>
      <c r="G31" s="92">
        <f t="shared" si="3"/>
        <v>1.0949012539313201E-2</v>
      </c>
      <c r="J31">
        <v>6</v>
      </c>
      <c r="K31">
        <v>1.1734083753785839E-2</v>
      </c>
      <c r="L31">
        <v>-8.1707471272456256E-2</v>
      </c>
    </row>
    <row r="32" spans="1:18" x14ac:dyDescent="0.35">
      <c r="A32" s="91">
        <v>2029</v>
      </c>
      <c r="B32" s="91">
        <f t="shared" si="2"/>
        <v>60.275529946037814</v>
      </c>
      <c r="C32" s="87">
        <v>2</v>
      </c>
      <c r="D32">
        <v>4</v>
      </c>
      <c r="E32" s="54">
        <f t="shared" si="0"/>
        <v>1.9607843137254832E-2</v>
      </c>
      <c r="F32" s="54">
        <f t="shared" si="1"/>
        <v>1.094901253931322E-2</v>
      </c>
      <c r="G32" s="92">
        <f t="shared" si="3"/>
        <v>1.0949012539313201E-2</v>
      </c>
      <c r="J32">
        <v>7</v>
      </c>
      <c r="K32">
        <v>1.0810072201770406E-2</v>
      </c>
      <c r="L32">
        <v>-0.11532321379180475</v>
      </c>
    </row>
    <row r="33" spans="1:12" x14ac:dyDescent="0.35">
      <c r="A33" s="91">
        <v>2030</v>
      </c>
      <c r="B33" s="91">
        <f t="shared" si="2"/>
        <v>60.93548747923073</v>
      </c>
      <c r="C33" s="87">
        <v>2</v>
      </c>
      <c r="D33">
        <v>4</v>
      </c>
      <c r="E33" s="54">
        <f t="shared" si="0"/>
        <v>1.9607843137254832E-2</v>
      </c>
      <c r="F33" s="54">
        <f t="shared" si="1"/>
        <v>1.0949012539313194E-2</v>
      </c>
      <c r="G33" s="92">
        <f t="shared" si="3"/>
        <v>1.0949012539313201E-2</v>
      </c>
      <c r="J33">
        <v>8</v>
      </c>
      <c r="K33">
        <v>1.0909045611926901E-2</v>
      </c>
      <c r="L33">
        <v>-3.50796876133109E-2</v>
      </c>
    </row>
    <row r="34" spans="1:12" x14ac:dyDescent="0.35">
      <c r="A34" s="91">
        <v>2031</v>
      </c>
      <c r="B34" s="91">
        <f t="shared" si="2"/>
        <v>61.602670895729993</v>
      </c>
      <c r="C34" s="87">
        <v>2</v>
      </c>
      <c r="D34">
        <v>4</v>
      </c>
      <c r="E34" s="54">
        <f t="shared" si="0"/>
        <v>1.9607843137254832E-2</v>
      </c>
      <c r="F34" s="54">
        <f t="shared" si="1"/>
        <v>1.0949012539313257E-2</v>
      </c>
      <c r="G34" s="92">
        <f t="shared" si="3"/>
        <v>1.0949012539313201E-2</v>
      </c>
      <c r="J34">
        <v>9</v>
      </c>
      <c r="K34">
        <v>1.2038801822849172E-2</v>
      </c>
      <c r="L34">
        <v>5.5859956445256841E-2</v>
      </c>
    </row>
    <row r="35" spans="1:12" x14ac:dyDescent="0.35">
      <c r="J35">
        <v>10</v>
      </c>
      <c r="K35">
        <v>1.2219610146666686E-2</v>
      </c>
      <c r="L35">
        <v>-6.8480366521866315E-2</v>
      </c>
    </row>
    <row r="36" spans="1:12" x14ac:dyDescent="0.35">
      <c r="J36">
        <v>11</v>
      </c>
      <c r="K36">
        <v>1.1943909862120475E-2</v>
      </c>
      <c r="L36">
        <v>-5.1508092890437784E-2</v>
      </c>
    </row>
    <row r="37" spans="1:12" x14ac:dyDescent="0.35">
      <c r="J37">
        <v>12</v>
      </c>
      <c r="K37">
        <v>1.225217424347053E-2</v>
      </c>
      <c r="L37">
        <v>-4.0395938761122914E-2</v>
      </c>
    </row>
    <row r="38" spans="1:12" x14ac:dyDescent="0.35">
      <c r="C38" t="s">
        <v>21</v>
      </c>
      <c r="J38">
        <v>13</v>
      </c>
      <c r="K38">
        <v>1.1963344480736174E-2</v>
      </c>
      <c r="L38">
        <v>2.0598423727740157E-3</v>
      </c>
    </row>
    <row r="39" spans="1:12" x14ac:dyDescent="0.35">
      <c r="B39">
        <v>2024</v>
      </c>
      <c r="C39">
        <v>57.149444444444448</v>
      </c>
      <c r="J39">
        <v>14</v>
      </c>
      <c r="K39">
        <v>1.1713890035125737E-2</v>
      </c>
      <c r="L39">
        <v>3.1702542720847646E-2</v>
      </c>
    </row>
    <row r="40" spans="1:12" x14ac:dyDescent="0.35">
      <c r="B40" t="s">
        <v>52</v>
      </c>
      <c r="C40">
        <v>57.74416973378036</v>
      </c>
      <c r="J40">
        <v>15</v>
      </c>
      <c r="K40">
        <v>1.1724033110957661E-2</v>
      </c>
      <c r="L40">
        <v>1.3463854357149592E-2</v>
      </c>
    </row>
    <row r="41" spans="1:12" x14ac:dyDescent="0.35">
      <c r="B41" t="s">
        <v>53</v>
      </c>
      <c r="C41">
        <v>58.338234280798289</v>
      </c>
      <c r="J41">
        <v>16</v>
      </c>
      <c r="K41">
        <v>1.1967510809464527E-2</v>
      </c>
      <c r="L41">
        <v>3.3195206999436108E-2</v>
      </c>
    </row>
    <row r="42" spans="1:12" x14ac:dyDescent="0.35">
      <c r="B42" t="s">
        <v>54</v>
      </c>
      <c r="C42">
        <v>58.976980339460141</v>
      </c>
      <c r="J42">
        <v>17</v>
      </c>
      <c r="K42">
        <v>1.155531271437369E-2</v>
      </c>
      <c r="L42">
        <v>4.6852742362476635E-2</v>
      </c>
    </row>
    <row r="43" spans="1:12" x14ac:dyDescent="0.35">
      <c r="B43" t="s">
        <v>380</v>
      </c>
      <c r="C43">
        <v>59.622720036727721</v>
      </c>
      <c r="J43">
        <v>18</v>
      </c>
      <c r="K43">
        <v>1.0958509227282039E-2</v>
      </c>
      <c r="L43">
        <v>3.3202238207625703E-2</v>
      </c>
    </row>
    <row r="44" spans="1:12" x14ac:dyDescent="0.35">
      <c r="B44" t="s">
        <v>382</v>
      </c>
      <c r="C44">
        <v>60.275529946037814</v>
      </c>
      <c r="J44">
        <v>19</v>
      </c>
      <c r="K44">
        <v>1.0513319123349235E-2</v>
      </c>
      <c r="L44">
        <v>-3.0799420595017439E-2</v>
      </c>
    </row>
    <row r="45" spans="1:12" x14ac:dyDescent="0.35">
      <c r="B45" t="s">
        <v>384</v>
      </c>
      <c r="C45">
        <v>60.93548747923073</v>
      </c>
      <c r="J45">
        <v>20</v>
      </c>
      <c r="K45">
        <v>1.0995444352388778E-2</v>
      </c>
      <c r="L45">
        <v>-5.0795072695283022E-2</v>
      </c>
    </row>
    <row r="46" spans="1:12" x14ac:dyDescent="0.35">
      <c r="B46" t="s">
        <v>386</v>
      </c>
      <c r="C46">
        <v>61.602670895729993</v>
      </c>
      <c r="J46">
        <v>21</v>
      </c>
      <c r="K46">
        <v>1.1299058367751417E-2</v>
      </c>
      <c r="L46">
        <v>-1.4011858340825306E-2</v>
      </c>
    </row>
    <row r="47" spans="1:12" x14ac:dyDescent="0.35">
      <c r="J47">
        <v>22</v>
      </c>
      <c r="K47">
        <v>1.092634638425892E-2</v>
      </c>
      <c r="L47">
        <v>9.3108698704568782E-2</v>
      </c>
    </row>
    <row r="48" spans="1:12" x14ac:dyDescent="0.35">
      <c r="J48">
        <v>23</v>
      </c>
      <c r="K48">
        <v>1.0592347840363522E-2</v>
      </c>
      <c r="L48">
        <v>9.3630215846355978E-3</v>
      </c>
    </row>
    <row r="49" spans="10:12" ht="15" thickBot="1" x14ac:dyDescent="0.4">
      <c r="J49" s="88">
        <v>24</v>
      </c>
      <c r="K49" s="88">
        <v>1.0523963336499326E-2</v>
      </c>
      <c r="L49" s="88">
        <v>1.7165067547419758E-2</v>
      </c>
    </row>
  </sheetData>
  <conditionalFormatting sqref="E4:F34">
    <cfRule type="expression" dxfId="9" priority="2">
      <formula>MOD(ROW(),2)</formula>
    </cfRule>
  </conditionalFormatting>
  <conditionalFormatting sqref="G28:G34">
    <cfRule type="expression" dxfId="8" priority="1">
      <formula>MOD(ROW(),2)</formula>
    </cfRule>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0CEA7-07C1-431B-A42E-1F1213001355}">
  <dimension ref="A1:R49"/>
  <sheetViews>
    <sheetView workbookViewId="0">
      <selection activeCell="B39" sqref="B39:B46"/>
    </sheetView>
  </sheetViews>
  <sheetFormatPr defaultRowHeight="14.5" x14ac:dyDescent="0.35"/>
  <cols>
    <col min="5" max="5" width="27.1796875" bestFit="1" customWidth="1"/>
    <col min="6" max="6" width="16.1796875" bestFit="1" customWidth="1"/>
    <col min="14" max="14" width="11.81640625" bestFit="1" customWidth="1"/>
  </cols>
  <sheetData>
    <row r="1" spans="1:18" x14ac:dyDescent="0.35">
      <c r="C1" t="s">
        <v>519</v>
      </c>
      <c r="D1" t="s">
        <v>520</v>
      </c>
    </row>
    <row r="2" spans="1:18" s="56" customFormat="1" ht="38.5" customHeight="1" x14ac:dyDescent="0.35">
      <c r="B2" s="56" t="s">
        <v>21</v>
      </c>
      <c r="C2" s="56" t="s">
        <v>285</v>
      </c>
      <c r="D2" s="56" t="s">
        <v>22</v>
      </c>
      <c r="E2" s="56" t="s">
        <v>351</v>
      </c>
      <c r="F2" s="56" t="s">
        <v>352</v>
      </c>
      <c r="J2" t="s">
        <v>354</v>
      </c>
      <c r="K2"/>
      <c r="L2"/>
      <c r="M2"/>
      <c r="N2"/>
      <c r="O2"/>
      <c r="P2"/>
      <c r="Q2"/>
      <c r="R2"/>
    </row>
    <row r="3" spans="1:18" ht="15" thickBot="1" x14ac:dyDescent="0.4">
      <c r="A3">
        <v>2000</v>
      </c>
      <c r="B3">
        <v>44.741666666666667</v>
      </c>
      <c r="C3" s="87">
        <v>6.2358333333333329</v>
      </c>
      <c r="D3">
        <v>9</v>
      </c>
    </row>
    <row r="4" spans="1:18" x14ac:dyDescent="0.35">
      <c r="A4">
        <v>2001</v>
      </c>
      <c r="B4">
        <v>51.035416666666663</v>
      </c>
      <c r="C4" s="87">
        <v>3.8875000000000002</v>
      </c>
      <c r="D4">
        <v>13.5</v>
      </c>
      <c r="E4" s="54">
        <f>((1+D3%)/(1+C3%))-1</f>
        <v>2.6019155495242696E-2</v>
      </c>
      <c r="F4" s="54">
        <f>(B4-B3)/B3</f>
        <v>0.14066865338051768</v>
      </c>
      <c r="J4" s="90" t="s">
        <v>355</v>
      </c>
      <c r="K4" s="90"/>
    </row>
    <row r="5" spans="1:18" x14ac:dyDescent="0.35">
      <c r="A5">
        <v>2002</v>
      </c>
      <c r="B5">
        <v>51.68333333333333</v>
      </c>
      <c r="C5" s="87">
        <v>1.6666666666666667</v>
      </c>
      <c r="D5">
        <v>7</v>
      </c>
      <c r="E5" s="54">
        <f t="shared" ref="E5:E34" si="0">((1+D4%)/(1+C4%))-1</f>
        <v>9.2527974972927529E-2</v>
      </c>
      <c r="F5" s="54">
        <f t="shared" ref="F5:F34" si="1">(B5-B4)/B4</f>
        <v>1.2695432093725773E-2</v>
      </c>
      <c r="J5" t="s">
        <v>356</v>
      </c>
      <c r="K5">
        <v>0.27282480541840404</v>
      </c>
    </row>
    <row r="6" spans="1:18" x14ac:dyDescent="0.35">
      <c r="A6">
        <v>2003</v>
      </c>
      <c r="B6">
        <v>54.354166666666657</v>
      </c>
      <c r="C6" s="87">
        <v>1.1274999999999999</v>
      </c>
      <c r="D6">
        <v>7</v>
      </c>
      <c r="E6" s="54">
        <f t="shared" si="0"/>
        <v>5.2459016393442637E-2</v>
      </c>
      <c r="F6" s="54">
        <f t="shared" si="1"/>
        <v>5.167687842631398E-2</v>
      </c>
      <c r="J6" t="s">
        <v>357</v>
      </c>
      <c r="K6">
        <v>7.4433374451590012E-2</v>
      </c>
    </row>
    <row r="7" spans="1:18" x14ac:dyDescent="0.35">
      <c r="A7">
        <v>2004</v>
      </c>
      <c r="B7">
        <v>56.086666666666666</v>
      </c>
      <c r="C7" s="87">
        <v>1.3491666666666666</v>
      </c>
      <c r="D7">
        <v>6.75</v>
      </c>
      <c r="E7" s="54">
        <f t="shared" si="0"/>
        <v>5.807025784282227E-2</v>
      </c>
      <c r="F7" s="54">
        <f t="shared" si="1"/>
        <v>3.1874281333844554E-2</v>
      </c>
      <c r="J7" t="s">
        <v>358</v>
      </c>
      <c r="K7">
        <v>3.2359417170969317E-3</v>
      </c>
    </row>
    <row r="8" spans="1:18" x14ac:dyDescent="0.35">
      <c r="A8">
        <v>2005</v>
      </c>
      <c r="B8">
        <v>54.955416666666657</v>
      </c>
      <c r="C8" s="87">
        <v>3.2133333333333334</v>
      </c>
      <c r="D8">
        <v>6.75</v>
      </c>
      <c r="E8" s="54">
        <f t="shared" si="0"/>
        <v>5.3289370904217259E-2</v>
      </c>
      <c r="F8" s="54">
        <f t="shared" si="1"/>
        <v>-2.0169677879472398E-2</v>
      </c>
      <c r="J8" t="s">
        <v>359</v>
      </c>
      <c r="K8">
        <v>4.3916680825003621E-2</v>
      </c>
    </row>
    <row r="9" spans="1:18" ht="15" thickBot="1" x14ac:dyDescent="0.4">
      <c r="A9">
        <v>2006</v>
      </c>
      <c r="B9">
        <v>51.109999999999992</v>
      </c>
      <c r="C9" s="87">
        <v>4.9641666666666664</v>
      </c>
      <c r="D9">
        <v>6.75</v>
      </c>
      <c r="E9" s="54">
        <f t="shared" si="0"/>
        <v>3.4265598759850135E-2</v>
      </c>
      <c r="F9" s="54">
        <f t="shared" si="1"/>
        <v>-6.9973387518670424E-2</v>
      </c>
      <c r="J9" s="88" t="s">
        <v>360</v>
      </c>
      <c r="K9" s="88">
        <v>15</v>
      </c>
    </row>
    <row r="10" spans="1:18" x14ac:dyDescent="0.35">
      <c r="A10">
        <v>2007</v>
      </c>
      <c r="B10">
        <v>45.768333333333338</v>
      </c>
      <c r="C10" s="87">
        <v>5.019166666666667</v>
      </c>
      <c r="D10">
        <v>7</v>
      </c>
      <c r="E10" s="54">
        <f t="shared" si="0"/>
        <v>1.7013742785236152E-2</v>
      </c>
      <c r="F10" s="54">
        <f t="shared" si="1"/>
        <v>-0.10451314159003434</v>
      </c>
    </row>
    <row r="11" spans="1:18" ht="15" thickBot="1" x14ac:dyDescent="0.4">
      <c r="A11">
        <v>2008</v>
      </c>
      <c r="B11">
        <v>44.662083333333328</v>
      </c>
      <c r="C11" s="87">
        <v>1.9275</v>
      </c>
      <c r="D11">
        <v>6</v>
      </c>
      <c r="E11" s="54">
        <f t="shared" si="0"/>
        <v>1.8861636367964563E-2</v>
      </c>
      <c r="F11" s="54">
        <f t="shared" si="1"/>
        <v>-2.4170642001383996E-2</v>
      </c>
      <c r="J11" t="s">
        <v>361</v>
      </c>
    </row>
    <row r="12" spans="1:18" x14ac:dyDescent="0.35">
      <c r="A12">
        <v>2009</v>
      </c>
      <c r="B12">
        <v>47.694583333333334</v>
      </c>
      <c r="C12" s="87">
        <v>0.16</v>
      </c>
      <c r="D12">
        <v>4.5</v>
      </c>
      <c r="E12" s="54">
        <f t="shared" si="0"/>
        <v>3.9954869883005228E-2</v>
      </c>
      <c r="F12" s="54">
        <f t="shared" si="1"/>
        <v>6.7898758268106013E-2</v>
      </c>
      <c r="J12" s="89"/>
      <c r="K12" s="89" t="s">
        <v>362</v>
      </c>
      <c r="L12" s="89" t="s">
        <v>288</v>
      </c>
      <c r="M12" s="89" t="s">
        <v>363</v>
      </c>
      <c r="N12" s="89" t="s">
        <v>364</v>
      </c>
      <c r="O12" s="89" t="s">
        <v>365</v>
      </c>
    </row>
    <row r="13" spans="1:18" x14ac:dyDescent="0.35">
      <c r="A13">
        <v>2010</v>
      </c>
      <c r="B13">
        <v>45.011250000000011</v>
      </c>
      <c r="C13" s="87">
        <v>0.17499999999999999</v>
      </c>
      <c r="D13">
        <v>4</v>
      </c>
      <c r="E13" s="54">
        <f t="shared" si="0"/>
        <v>4.3330670926517545E-2</v>
      </c>
      <c r="F13" s="54">
        <f t="shared" si="1"/>
        <v>-5.6260756375199623E-2</v>
      </c>
      <c r="J13" t="s">
        <v>366</v>
      </c>
      <c r="K13">
        <v>1</v>
      </c>
      <c r="L13">
        <v>2.016333625251672E-3</v>
      </c>
      <c r="M13">
        <v>2.016333625251672E-3</v>
      </c>
      <c r="N13">
        <v>1.0454502584266527</v>
      </c>
      <c r="O13">
        <v>0.32520853229583901</v>
      </c>
    </row>
    <row r="14" spans="1:18" x14ac:dyDescent="0.35">
      <c r="A14">
        <v>2011</v>
      </c>
      <c r="B14">
        <v>43.230416666666663</v>
      </c>
      <c r="C14" s="87">
        <v>0.10166666666666667</v>
      </c>
      <c r="D14">
        <v>4.5</v>
      </c>
      <c r="E14" s="54">
        <f t="shared" si="0"/>
        <v>3.8183179435987036E-2</v>
      </c>
      <c r="F14" s="54">
        <f t="shared" si="1"/>
        <v>-3.956418302831731E-2</v>
      </c>
      <c r="J14" t="s">
        <v>367</v>
      </c>
      <c r="K14">
        <v>13</v>
      </c>
      <c r="L14">
        <v>2.5072773110908129E-2</v>
      </c>
      <c r="M14">
        <v>1.9286748546852408E-3</v>
      </c>
    </row>
    <row r="15" spans="1:18" ht="15" thickBot="1" x14ac:dyDescent="0.4">
      <c r="A15">
        <v>2012</v>
      </c>
      <c r="B15">
        <v>42.013750000000002</v>
      </c>
      <c r="C15" s="87">
        <v>0.14000000000000001</v>
      </c>
      <c r="D15">
        <v>4</v>
      </c>
      <c r="E15" s="54">
        <f t="shared" si="0"/>
        <v>4.3938662359934044E-2</v>
      </c>
      <c r="F15" s="54">
        <f t="shared" si="1"/>
        <v>-2.8143764517652384E-2</v>
      </c>
      <c r="J15" s="88" t="s">
        <v>99</v>
      </c>
      <c r="K15" s="88">
        <v>14</v>
      </c>
      <c r="L15" s="88">
        <v>2.7089106736159801E-2</v>
      </c>
      <c r="M15" s="88"/>
      <c r="N15" s="88"/>
      <c r="O15" s="88"/>
    </row>
    <row r="16" spans="1:18" ht="15" thickBot="1" x14ac:dyDescent="0.4">
      <c r="A16">
        <v>2013</v>
      </c>
      <c r="B16">
        <v>42.602916666666665</v>
      </c>
      <c r="C16" s="87">
        <v>0.1075</v>
      </c>
      <c r="D16">
        <v>3.5</v>
      </c>
      <c r="E16" s="54">
        <f t="shared" si="0"/>
        <v>3.8546035550229618E-2</v>
      </c>
      <c r="F16" s="54">
        <f t="shared" si="1"/>
        <v>1.402318685351019E-2</v>
      </c>
    </row>
    <row r="17" spans="1:18" x14ac:dyDescent="0.35">
      <c r="A17">
        <v>2014</v>
      </c>
      <c r="B17">
        <v>44.452583333333337</v>
      </c>
      <c r="C17" s="87">
        <v>8.9166666666666672E-2</v>
      </c>
      <c r="D17">
        <v>3.5</v>
      </c>
      <c r="E17" s="54">
        <f t="shared" si="0"/>
        <v>3.3888569787478451E-2</v>
      </c>
      <c r="F17" s="54">
        <f t="shared" si="1"/>
        <v>4.3416432755973386E-2</v>
      </c>
      <c r="J17" s="89"/>
      <c r="K17" s="89" t="s">
        <v>368</v>
      </c>
      <c r="L17" s="89" t="s">
        <v>359</v>
      </c>
      <c r="M17" s="89" t="s">
        <v>369</v>
      </c>
      <c r="N17" s="89" t="s">
        <v>370</v>
      </c>
      <c r="O17" s="89" t="s">
        <v>371</v>
      </c>
      <c r="P17" s="89" t="s">
        <v>372</v>
      </c>
      <c r="Q17" s="89" t="s">
        <v>373</v>
      </c>
      <c r="R17" s="89" t="s">
        <v>374</v>
      </c>
    </row>
    <row r="18" spans="1:18" x14ac:dyDescent="0.35">
      <c r="A18">
        <v>2015</v>
      </c>
      <c r="B18">
        <v>45.572249999999997</v>
      </c>
      <c r="C18" s="87">
        <v>0.13250000000000001</v>
      </c>
      <c r="D18">
        <v>4</v>
      </c>
      <c r="E18" s="54">
        <f t="shared" si="0"/>
        <v>3.4077947163778877E-2</v>
      </c>
      <c r="F18" s="54">
        <f t="shared" si="1"/>
        <v>2.5187887468107253E-2</v>
      </c>
      <c r="J18" t="s">
        <v>375</v>
      </c>
      <c r="K18">
        <v>4.2330775793141387E-2</v>
      </c>
      <c r="L18">
        <v>3.0829493614960665E-2</v>
      </c>
      <c r="M18">
        <v>1.3730610149431544</v>
      </c>
      <c r="N18">
        <v>0.19295394941771704</v>
      </c>
      <c r="O18">
        <v>-2.4272295907239436E-2</v>
      </c>
      <c r="P18">
        <v>0.10893384749352221</v>
      </c>
      <c r="Q18">
        <v>-2.4272295907239436E-2</v>
      </c>
      <c r="R18">
        <v>0.10893384749352221</v>
      </c>
    </row>
    <row r="19" spans="1:18" ht="15" thickBot="1" x14ac:dyDescent="0.4">
      <c r="A19">
        <v>2016</v>
      </c>
      <c r="B19">
        <v>47.630416666666669</v>
      </c>
      <c r="C19" s="87">
        <v>0.39500000000000002</v>
      </c>
      <c r="D19">
        <v>3.5</v>
      </c>
      <c r="E19" s="54">
        <f t="shared" si="0"/>
        <v>3.8623823433949989E-2</v>
      </c>
      <c r="F19" s="54">
        <f t="shared" si="1"/>
        <v>4.5162717808900639E-2</v>
      </c>
      <c r="J19" s="88" t="s">
        <v>376</v>
      </c>
      <c r="K19" s="88">
        <v>-1.0389696781910664</v>
      </c>
      <c r="L19" s="88">
        <v>1.0161344743900167</v>
      </c>
      <c r="M19" s="88">
        <v>-1.0224726198909428</v>
      </c>
      <c r="N19" s="88">
        <v>0.32520853229584001</v>
      </c>
      <c r="O19" s="88">
        <v>-3.2341947474145529</v>
      </c>
      <c r="P19" s="88">
        <v>1.1562553910324198</v>
      </c>
      <c r="Q19" s="88">
        <v>-3.2341947474145529</v>
      </c>
      <c r="R19" s="88">
        <v>1.1562553910324198</v>
      </c>
    </row>
    <row r="20" spans="1:18" x14ac:dyDescent="0.35">
      <c r="A20">
        <v>2017</v>
      </c>
      <c r="B20">
        <v>50.412416666666665</v>
      </c>
      <c r="C20" s="87">
        <v>1.0016666666666667</v>
      </c>
      <c r="D20">
        <v>3</v>
      </c>
      <c r="E20" s="54">
        <f t="shared" si="0"/>
        <v>3.0927835051546504E-2</v>
      </c>
      <c r="F20" s="54">
        <f t="shared" si="1"/>
        <v>5.8408055076850325E-2</v>
      </c>
    </row>
    <row r="21" spans="1:18" x14ac:dyDescent="0.35">
      <c r="A21">
        <v>2018</v>
      </c>
      <c r="B21">
        <v>52.638666666666666</v>
      </c>
      <c r="C21" s="87">
        <v>1.8316666666666668</v>
      </c>
      <c r="D21">
        <v>3</v>
      </c>
      <c r="E21" s="54">
        <f t="shared" si="0"/>
        <v>1.9785152060197264E-2</v>
      </c>
      <c r="F21" s="54">
        <f t="shared" si="1"/>
        <v>4.4160747434907742E-2</v>
      </c>
    </row>
    <row r="22" spans="1:18" x14ac:dyDescent="0.35">
      <c r="A22">
        <v>2019</v>
      </c>
      <c r="B22">
        <v>51.570833333333347</v>
      </c>
      <c r="C22" s="87">
        <v>2.1583333333333332</v>
      </c>
      <c r="D22">
        <v>4.25</v>
      </c>
      <c r="E22" s="54">
        <f t="shared" si="0"/>
        <v>1.1473182867149934E-2</v>
      </c>
      <c r="F22" s="54">
        <f t="shared" si="1"/>
        <v>-2.0286101471668202E-2</v>
      </c>
    </row>
    <row r="23" spans="1:18" x14ac:dyDescent="0.35">
      <c r="A23">
        <v>2020</v>
      </c>
      <c r="B23">
        <v>49.518333333333338</v>
      </c>
      <c r="C23" s="87">
        <v>0.37583333333333335</v>
      </c>
      <c r="D23">
        <v>3</v>
      </c>
      <c r="E23" s="54">
        <f t="shared" si="0"/>
        <v>2.0474753242515797E-2</v>
      </c>
      <c r="F23" s="54">
        <f t="shared" si="1"/>
        <v>-3.9799628342894244E-2</v>
      </c>
      <c r="J23" t="s">
        <v>377</v>
      </c>
    </row>
    <row r="24" spans="1:18" ht="15" thickBot="1" x14ac:dyDescent="0.4">
      <c r="A24">
        <v>2021</v>
      </c>
      <c r="B24">
        <v>49.384000000000007</v>
      </c>
      <c r="C24" s="87">
        <v>0.08</v>
      </c>
      <c r="D24">
        <v>2</v>
      </c>
      <c r="E24" s="54">
        <f t="shared" si="0"/>
        <v>2.6143411013607176E-2</v>
      </c>
      <c r="F24" s="54">
        <f t="shared" si="1"/>
        <v>-2.7127999730738889E-3</v>
      </c>
    </row>
    <row r="25" spans="1:18" x14ac:dyDescent="0.35">
      <c r="A25">
        <v>2022</v>
      </c>
      <c r="B25">
        <v>54.521666666666675</v>
      </c>
      <c r="C25" s="87">
        <v>1.6833333333333333</v>
      </c>
      <c r="D25">
        <v>3</v>
      </c>
      <c r="E25" s="54">
        <f t="shared" si="0"/>
        <v>1.9184652278177561E-2</v>
      </c>
      <c r="F25" s="54">
        <f t="shared" si="1"/>
        <v>0.1040350450888277</v>
      </c>
      <c r="J25" s="89" t="s">
        <v>378</v>
      </c>
      <c r="K25" s="89" t="s">
        <v>353</v>
      </c>
      <c r="L25" s="89" t="s">
        <v>379</v>
      </c>
    </row>
    <row r="26" spans="1:18" x14ac:dyDescent="0.35">
      <c r="A26">
        <v>2023</v>
      </c>
      <c r="B26">
        <v>55.609666666666669</v>
      </c>
      <c r="C26" s="87">
        <v>5.0241666666666669</v>
      </c>
      <c r="D26">
        <v>6.25</v>
      </c>
      <c r="E26" s="54">
        <f t="shared" si="0"/>
        <v>1.2948696934928838E-2</v>
      </c>
      <c r="F26" s="54">
        <f t="shared" si="1"/>
        <v>1.995536942499912E-2</v>
      </c>
      <c r="J26">
        <v>1</v>
      </c>
      <c r="K26">
        <v>-2.6884774351855489E-3</v>
      </c>
      <c r="L26">
        <v>-5.3572278940014074E-2</v>
      </c>
    </row>
    <row r="27" spans="1:18" x14ac:dyDescent="0.35">
      <c r="A27">
        <v>2024</v>
      </c>
      <c r="B27">
        <v>57.149444444444448</v>
      </c>
      <c r="C27" s="86">
        <v>5.5</v>
      </c>
      <c r="D27">
        <v>6.5</v>
      </c>
      <c r="E27" s="54">
        <f t="shared" si="0"/>
        <v>1.1671916781058167E-2</v>
      </c>
      <c r="F27" s="54">
        <f t="shared" si="1"/>
        <v>2.7689030883919084E-2</v>
      </c>
      <c r="J27">
        <v>2</v>
      </c>
      <c r="K27">
        <v>2.6596101422221921E-3</v>
      </c>
      <c r="L27">
        <v>-4.2223793170539502E-2</v>
      </c>
    </row>
    <row r="28" spans="1:18" x14ac:dyDescent="0.35">
      <c r="A28" s="91">
        <v>2025</v>
      </c>
      <c r="B28" s="91">
        <f>B27*(1+G28)</f>
        <v>59.005813959154736</v>
      </c>
      <c r="C28" s="87">
        <v>3.25</v>
      </c>
      <c r="D28">
        <v>4</v>
      </c>
      <c r="E28" s="54">
        <f t="shared" si="0"/>
        <v>9.4786729857820884E-3</v>
      </c>
      <c r="F28" s="54">
        <f t="shared" si="1"/>
        <v>3.2482721971424995E-2</v>
      </c>
      <c r="G28" s="92">
        <f>E28*$K$19+$K$18</f>
        <v>3.2482721971425016E-2</v>
      </c>
      <c r="J28">
        <v>3</v>
      </c>
      <c r="K28">
        <v>-3.3201620991052117E-3</v>
      </c>
      <c r="L28">
        <v>-2.4823602418547173E-2</v>
      </c>
    </row>
    <row r="29" spans="1:18" x14ac:dyDescent="0.35">
      <c r="A29" s="91">
        <v>2026</v>
      </c>
      <c r="B29" s="91">
        <f t="shared" ref="B29:B34" si="2">B28*(1+G29)</f>
        <v>61.058259243204702</v>
      </c>
      <c r="C29" s="87">
        <v>2</v>
      </c>
      <c r="D29">
        <v>4</v>
      </c>
      <c r="E29" s="54">
        <f t="shared" si="0"/>
        <v>7.2639225181598821E-3</v>
      </c>
      <c r="F29" s="54">
        <f t="shared" si="1"/>
        <v>3.478378055204389E-2</v>
      </c>
      <c r="G29" s="92">
        <f t="shared" ref="G29:G34" si="3">E29*$K$19+$K$18</f>
        <v>3.4783780552043973E-2</v>
      </c>
      <c r="J29">
        <v>4</v>
      </c>
      <c r="K29">
        <v>2.2826136419779111E-3</v>
      </c>
      <c r="L29">
        <v>1.1740573211532278E-2</v>
      </c>
    </row>
    <row r="30" spans="1:18" x14ac:dyDescent="0.35">
      <c r="A30" s="91">
        <v>2027</v>
      </c>
      <c r="B30" s="91">
        <f t="shared" si="2"/>
        <v>62.399026647963623</v>
      </c>
      <c r="C30" s="87">
        <v>2</v>
      </c>
      <c r="D30">
        <v>4</v>
      </c>
      <c r="E30" s="54">
        <f t="shared" si="0"/>
        <v>1.9607843137254832E-2</v>
      </c>
      <c r="F30" s="54">
        <f t="shared" si="1"/>
        <v>2.1958821318806887E-2</v>
      </c>
      <c r="G30" s="92">
        <f t="shared" si="3"/>
        <v>2.1958821318806825E-2</v>
      </c>
      <c r="J30">
        <v>5</v>
      </c>
      <c r="K30">
        <v>7.1215793466894023E-3</v>
      </c>
      <c r="L30">
        <v>3.6294853409283984E-2</v>
      </c>
    </row>
    <row r="31" spans="1:18" x14ac:dyDescent="0.35">
      <c r="A31" s="91">
        <v>2028</v>
      </c>
      <c r="B31" s="91">
        <f t="shared" si="2"/>
        <v>63.769235724593727</v>
      </c>
      <c r="C31" s="87">
        <v>2</v>
      </c>
      <c r="D31">
        <v>4</v>
      </c>
      <c r="E31" s="54">
        <f t="shared" si="0"/>
        <v>1.9607843137254832E-2</v>
      </c>
      <c r="F31" s="54">
        <f t="shared" si="1"/>
        <v>2.1958821318806908E-2</v>
      </c>
      <c r="G31" s="92">
        <f t="shared" si="3"/>
        <v>2.1958821318806825E-2</v>
      </c>
      <c r="J31">
        <v>6</v>
      </c>
      <c r="K31">
        <v>6.9248219949778825E-3</v>
      </c>
      <c r="L31">
        <v>1.8263065473129371E-2</v>
      </c>
    </row>
    <row r="32" spans="1:18" x14ac:dyDescent="0.35">
      <c r="A32" s="91">
        <v>2029</v>
      </c>
      <c r="B32" s="91">
        <f t="shared" si="2"/>
        <v>65.169532977506961</v>
      </c>
      <c r="C32" s="87">
        <v>2</v>
      </c>
      <c r="D32">
        <v>4</v>
      </c>
      <c r="E32" s="54">
        <f t="shared" si="0"/>
        <v>1.9607843137254832E-2</v>
      </c>
      <c r="F32" s="54">
        <f t="shared" si="1"/>
        <v>2.1958821318806936E-2</v>
      </c>
      <c r="G32" s="92">
        <f t="shared" si="3"/>
        <v>2.1958821318806825E-2</v>
      </c>
      <c r="J32">
        <v>7</v>
      </c>
      <c r="K32">
        <v>2.2017943894617961E-3</v>
      </c>
      <c r="L32">
        <v>4.2960923419438843E-2</v>
      </c>
    </row>
    <row r="33" spans="1:12" x14ac:dyDescent="0.35">
      <c r="A33" s="91">
        <v>2030</v>
      </c>
      <c r="B33" s="91">
        <f t="shared" si="2"/>
        <v>66.600579107590136</v>
      </c>
      <c r="C33" s="87">
        <v>2</v>
      </c>
      <c r="D33">
        <v>4</v>
      </c>
      <c r="E33" s="54">
        <f t="shared" si="0"/>
        <v>1.9607843137254832E-2</v>
      </c>
      <c r="F33" s="54">
        <f t="shared" si="1"/>
        <v>2.1958821318806984E-2</v>
      </c>
      <c r="G33" s="92">
        <f t="shared" si="3"/>
        <v>2.1958821318806825E-2</v>
      </c>
      <c r="J33">
        <v>8</v>
      </c>
      <c r="K33">
        <v>1.0197692962489728E-2</v>
      </c>
      <c r="L33">
        <v>4.8210362114360597E-2</v>
      </c>
    </row>
    <row r="34" spans="1:12" x14ac:dyDescent="0.35">
      <c r="A34" s="91">
        <v>2031</v>
      </c>
      <c r="B34" s="91">
        <f t="shared" si="2"/>
        <v>68.063049323942764</v>
      </c>
      <c r="C34" s="87">
        <v>2</v>
      </c>
      <c r="D34">
        <v>4</v>
      </c>
      <c r="E34" s="54">
        <f t="shared" si="0"/>
        <v>1.9607843137254832E-2</v>
      </c>
      <c r="F34" s="54">
        <f t="shared" si="1"/>
        <v>2.1958821318806783E-2</v>
      </c>
      <c r="G34" s="92">
        <f t="shared" si="3"/>
        <v>2.1958821318806825E-2</v>
      </c>
      <c r="J34">
        <v>9</v>
      </c>
      <c r="K34">
        <v>2.1774602724196922E-2</v>
      </c>
      <c r="L34">
        <v>2.238614471071082E-2</v>
      </c>
    </row>
    <row r="35" spans="1:12" x14ac:dyDescent="0.35">
      <c r="J35">
        <v>10</v>
      </c>
      <c r="K35">
        <v>3.0410486681831363E-2</v>
      </c>
      <c r="L35">
        <v>-5.0696588153499561E-2</v>
      </c>
    </row>
    <row r="36" spans="1:12" x14ac:dyDescent="0.35">
      <c r="J36">
        <v>11</v>
      </c>
      <c r="K36">
        <v>2.1058128005723254E-2</v>
      </c>
      <c r="L36">
        <v>-6.0857756348617495E-2</v>
      </c>
    </row>
    <row r="37" spans="1:12" x14ac:dyDescent="0.35">
      <c r="J37">
        <v>12</v>
      </c>
      <c r="K37">
        <v>1.5168564465517155E-2</v>
      </c>
      <c r="L37">
        <v>-1.7881364438591042E-2</v>
      </c>
    </row>
    <row r="38" spans="1:12" x14ac:dyDescent="0.35">
      <c r="C38" t="s">
        <v>21</v>
      </c>
      <c r="J38">
        <v>13</v>
      </c>
      <c r="K38">
        <v>2.2398503789475738E-2</v>
      </c>
      <c r="L38">
        <v>8.1636541299351967E-2</v>
      </c>
    </row>
    <row r="39" spans="1:12" x14ac:dyDescent="0.35">
      <c r="B39">
        <v>2024</v>
      </c>
      <c r="C39">
        <v>57.149444444444448</v>
      </c>
      <c r="J39">
        <v>14</v>
      </c>
      <c r="K39">
        <v>2.8877472305664724E-2</v>
      </c>
      <c r="L39">
        <v>-8.9221028806656041E-3</v>
      </c>
    </row>
    <row r="40" spans="1:12" ht="15" thickBot="1" x14ac:dyDescent="0.4">
      <c r="B40" t="s">
        <v>52</v>
      </c>
      <c r="C40">
        <v>57.74416973378036</v>
      </c>
      <c r="J40" s="88">
        <v>15</v>
      </c>
      <c r="K40" s="88">
        <v>3.0204008171252475E-2</v>
      </c>
      <c r="L40" s="88">
        <v>-2.5149772873333913E-3</v>
      </c>
    </row>
    <row r="41" spans="1:12" x14ac:dyDescent="0.35">
      <c r="B41" t="s">
        <v>53</v>
      </c>
      <c r="C41">
        <v>58.338234280798289</v>
      </c>
      <c r="J41">
        <v>16</v>
      </c>
      <c r="K41">
        <v>6.241743887621414E-3</v>
      </c>
      <c r="L41">
        <v>9.7793301201206287E-2</v>
      </c>
    </row>
    <row r="42" spans="1:12" x14ac:dyDescent="0.35">
      <c r="B42" t="s">
        <v>54</v>
      </c>
      <c r="C42">
        <v>58.976980339460141</v>
      </c>
      <c r="J42">
        <v>17</v>
      </c>
      <c r="K42">
        <v>5.3437134043322751E-3</v>
      </c>
      <c r="L42">
        <v>1.4611656020666844E-2</v>
      </c>
    </row>
    <row r="43" spans="1:12" ht="15" thickBot="1" x14ac:dyDescent="0.4">
      <c r="B43" t="s">
        <v>380</v>
      </c>
      <c r="C43">
        <v>59.622720036727721</v>
      </c>
      <c r="J43" s="88">
        <v>18</v>
      </c>
      <c r="K43" s="88">
        <v>5.1598462283307979E-3</v>
      </c>
      <c r="L43" s="88">
        <v>2.2529184655588286E-2</v>
      </c>
    </row>
    <row r="44" spans="1:12" x14ac:dyDescent="0.35">
      <c r="B44" t="s">
        <v>382</v>
      </c>
      <c r="C44">
        <v>60.275529946037814</v>
      </c>
      <c r="J44">
        <v>19</v>
      </c>
      <c r="K44">
        <v>6.3747393096575964E-3</v>
      </c>
      <c r="L44">
        <v>1.3580630115341524E-2</v>
      </c>
    </row>
    <row r="45" spans="1:12" ht="15" thickBot="1" x14ac:dyDescent="0.4">
      <c r="B45" t="s">
        <v>384</v>
      </c>
      <c r="C45">
        <v>60.93548747923073</v>
      </c>
      <c r="J45" s="88">
        <v>20</v>
      </c>
      <c r="K45" s="88">
        <v>6.6988027870685495E-3</v>
      </c>
      <c r="L45" s="88">
        <v>2.0990228096850534E-2</v>
      </c>
    </row>
    <row r="46" spans="1:12" x14ac:dyDescent="0.35">
      <c r="B46" t="s">
        <v>386</v>
      </c>
      <c r="C46">
        <v>61.602670895729993</v>
      </c>
      <c r="J46">
        <v>21</v>
      </c>
      <c r="K46">
        <v>1.1299058367751417E-2</v>
      </c>
      <c r="L46">
        <v>-1.4011858340825306E-2</v>
      </c>
    </row>
    <row r="47" spans="1:12" x14ac:dyDescent="0.35">
      <c r="J47">
        <v>22</v>
      </c>
      <c r="K47">
        <v>1.092634638425892E-2</v>
      </c>
      <c r="L47">
        <v>9.3108698704568782E-2</v>
      </c>
    </row>
    <row r="48" spans="1:12" x14ac:dyDescent="0.35">
      <c r="J48">
        <v>23</v>
      </c>
      <c r="K48">
        <v>1.0592347840363522E-2</v>
      </c>
      <c r="L48">
        <v>9.3630215846355978E-3</v>
      </c>
    </row>
    <row r="49" spans="10:12" ht="15" thickBot="1" x14ac:dyDescent="0.4">
      <c r="J49" s="88">
        <v>24</v>
      </c>
      <c r="K49" s="88">
        <v>1.0523963336499326E-2</v>
      </c>
      <c r="L49" s="88">
        <v>1.7165067547419758E-2</v>
      </c>
    </row>
  </sheetData>
  <conditionalFormatting sqref="E4:F34">
    <cfRule type="expression" dxfId="7" priority="2">
      <formula>MOD(ROW(),2)</formula>
    </cfRule>
  </conditionalFormatting>
  <conditionalFormatting sqref="G28:G34">
    <cfRule type="expression" dxfId="6" priority="1">
      <formula>MOD(ROW(),2)</formula>
    </cfRule>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076D-F1C9-457A-A268-21074E52B10E}">
  <dimension ref="A1:J298"/>
  <sheetViews>
    <sheetView topLeftCell="A19" workbookViewId="0">
      <selection activeCell="J14" sqref="J14"/>
    </sheetView>
  </sheetViews>
  <sheetFormatPr defaultRowHeight="14.5" x14ac:dyDescent="0.35"/>
  <cols>
    <col min="1" max="1" width="9.1796875" bestFit="1" customWidth="1"/>
  </cols>
  <sheetData>
    <row r="1" spans="1:10" x14ac:dyDescent="0.35">
      <c r="A1" t="s">
        <v>236</v>
      </c>
      <c r="B1" t="s">
        <v>8</v>
      </c>
    </row>
    <row r="2" spans="1:10" x14ac:dyDescent="0.35">
      <c r="A2" s="85">
        <v>36526</v>
      </c>
      <c r="B2">
        <v>40.575000000000003</v>
      </c>
      <c r="C2">
        <v>2000</v>
      </c>
      <c r="D2">
        <f>AVERAGE(B2:B13)</f>
        <v>44.741666666666667</v>
      </c>
    </row>
    <row r="3" spans="1:10" x14ac:dyDescent="0.35">
      <c r="A3" s="85">
        <v>36557</v>
      </c>
      <c r="B3">
        <v>41</v>
      </c>
      <c r="C3">
        <v>2001</v>
      </c>
      <c r="D3">
        <f>AVERAGE(B14:B25)</f>
        <v>51.035416666666663</v>
      </c>
    </row>
    <row r="4" spans="1:10" x14ac:dyDescent="0.35">
      <c r="A4" s="85">
        <v>36586</v>
      </c>
      <c r="B4">
        <v>41.15</v>
      </c>
      <c r="C4">
        <v>2002</v>
      </c>
      <c r="D4">
        <f>AVERAGE(B26:B37)</f>
        <v>51.68333333333333</v>
      </c>
    </row>
    <row r="5" spans="1:10" x14ac:dyDescent="0.35">
      <c r="A5" s="85">
        <v>36617</v>
      </c>
      <c r="B5">
        <v>41.295000000000002</v>
      </c>
      <c r="C5">
        <v>2003</v>
      </c>
      <c r="D5">
        <f>AVERAGE(B38:B49)</f>
        <v>54.354166666666657</v>
      </c>
      <c r="I5">
        <v>3.1</v>
      </c>
      <c r="J5">
        <f>AVERAGE(I5:I11)</f>
        <v>3.1999999999999997</v>
      </c>
    </row>
    <row r="6" spans="1:10" x14ac:dyDescent="0.35">
      <c r="A6" s="85">
        <v>36647</v>
      </c>
      <c r="B6">
        <v>42.65</v>
      </c>
      <c r="C6">
        <v>2004</v>
      </c>
      <c r="D6">
        <f>AVERAGE(B50:B61)</f>
        <v>56.086666666666666</v>
      </c>
      <c r="I6">
        <v>3.2</v>
      </c>
    </row>
    <row r="7" spans="1:10" x14ac:dyDescent="0.35">
      <c r="A7" s="85">
        <v>36678</v>
      </c>
      <c r="B7">
        <v>43.25</v>
      </c>
      <c r="C7">
        <v>2005</v>
      </c>
      <c r="D7">
        <f>AVERAGE(B62:B73)</f>
        <v>54.955416666666657</v>
      </c>
      <c r="I7">
        <v>3.5</v>
      </c>
    </row>
    <row r="8" spans="1:10" x14ac:dyDescent="0.35">
      <c r="A8" s="85">
        <v>36708</v>
      </c>
      <c r="B8">
        <v>44.9</v>
      </c>
      <c r="C8">
        <v>2006</v>
      </c>
      <c r="D8">
        <f>AVERAGE(B74:B85)</f>
        <v>51.109999999999992</v>
      </c>
      <c r="I8">
        <v>3.4</v>
      </c>
    </row>
    <row r="9" spans="1:10" x14ac:dyDescent="0.35">
      <c r="A9" s="85">
        <v>36739</v>
      </c>
      <c r="B9">
        <v>45.104999999999997</v>
      </c>
      <c r="C9">
        <v>2007</v>
      </c>
      <c r="D9">
        <f>AVERAGE(B86:B97)</f>
        <v>45.768333333333338</v>
      </c>
      <c r="I9">
        <v>3.3</v>
      </c>
    </row>
    <row r="10" spans="1:10" x14ac:dyDescent="0.35">
      <c r="A10" s="85">
        <v>36770</v>
      </c>
      <c r="B10">
        <v>46.2</v>
      </c>
      <c r="C10">
        <v>2008</v>
      </c>
      <c r="D10">
        <f>AVERAGE(B98:B109)</f>
        <v>44.662083333333328</v>
      </c>
      <c r="I10">
        <v>3</v>
      </c>
    </row>
    <row r="11" spans="1:10" x14ac:dyDescent="0.35">
      <c r="A11" s="85">
        <v>36800</v>
      </c>
      <c r="B11">
        <v>51.15</v>
      </c>
      <c r="C11">
        <v>2009</v>
      </c>
      <c r="D11">
        <f>AVERAGE(B110:B121)</f>
        <v>47.694583333333334</v>
      </c>
      <c r="I11">
        <v>2.9</v>
      </c>
    </row>
    <row r="12" spans="1:10" x14ac:dyDescent="0.35">
      <c r="A12" s="85">
        <v>36831</v>
      </c>
      <c r="B12">
        <v>49.625</v>
      </c>
      <c r="C12">
        <v>2010</v>
      </c>
      <c r="D12">
        <f>AVERAGE(B122:B133)</f>
        <v>45.011250000000011</v>
      </c>
    </row>
    <row r="13" spans="1:10" x14ac:dyDescent="0.35">
      <c r="A13" s="85">
        <v>36861</v>
      </c>
      <c r="B13">
        <v>50</v>
      </c>
      <c r="C13">
        <v>2011</v>
      </c>
      <c r="D13">
        <f>AVERAGE(B134:B145)</f>
        <v>43.230416666666663</v>
      </c>
      <c r="I13">
        <v>2.8</v>
      </c>
      <c r="J13">
        <f>AVERAGE(I13:I20)</f>
        <v>3.6249999999999996</v>
      </c>
    </row>
    <row r="14" spans="1:10" x14ac:dyDescent="0.35">
      <c r="A14" s="85">
        <v>36892</v>
      </c>
      <c r="B14">
        <v>48.924999999999997</v>
      </c>
      <c r="C14">
        <v>2012</v>
      </c>
      <c r="D14">
        <f>AVERAGE(B146:B157)</f>
        <v>42.013750000000002</v>
      </c>
      <c r="I14">
        <v>3.4</v>
      </c>
    </row>
    <row r="15" spans="1:10" x14ac:dyDescent="0.35">
      <c r="A15" s="85">
        <v>36923</v>
      </c>
      <c r="B15">
        <v>48.3</v>
      </c>
      <c r="C15">
        <v>2013</v>
      </c>
      <c r="D15">
        <f>AVERAGE(B158:B169)</f>
        <v>42.602916666666665</v>
      </c>
      <c r="I15">
        <v>3.7</v>
      </c>
    </row>
    <row r="16" spans="1:10" x14ac:dyDescent="0.35">
      <c r="A16" s="85">
        <v>36951</v>
      </c>
      <c r="B16">
        <v>49.524999999999999</v>
      </c>
      <c r="C16">
        <v>2014</v>
      </c>
      <c r="D16">
        <f>AVERAGE(B170:B181)</f>
        <v>44.452583333333337</v>
      </c>
      <c r="I16">
        <v>3.8</v>
      </c>
    </row>
    <row r="17" spans="1:9" x14ac:dyDescent="0.35">
      <c r="A17" s="85">
        <v>36982</v>
      </c>
      <c r="B17">
        <v>51.4</v>
      </c>
      <c r="C17">
        <v>2015</v>
      </c>
      <c r="D17">
        <f>AVERAGE(B182:B193)</f>
        <v>45.572249999999997</v>
      </c>
      <c r="I17">
        <v>3.9</v>
      </c>
    </row>
    <row r="18" spans="1:9" x14ac:dyDescent="0.35">
      <c r="A18" s="85">
        <v>37012</v>
      </c>
      <c r="B18">
        <v>50.5</v>
      </c>
      <c r="C18">
        <v>2016</v>
      </c>
      <c r="D18">
        <f>AVERAGE(B194:B205)</f>
        <v>47.630416666666669</v>
      </c>
      <c r="I18">
        <v>3.7</v>
      </c>
    </row>
    <row r="19" spans="1:9" x14ac:dyDescent="0.35">
      <c r="A19" s="85">
        <v>37043</v>
      </c>
      <c r="B19">
        <v>52.424999999999997</v>
      </c>
      <c r="C19">
        <v>2017</v>
      </c>
      <c r="D19">
        <f>AVERAGE(B206:B217)</f>
        <v>50.412416666666665</v>
      </c>
      <c r="I19">
        <v>4.4000000000000004</v>
      </c>
    </row>
    <row r="20" spans="1:9" x14ac:dyDescent="0.35">
      <c r="A20" s="85">
        <v>37073</v>
      </c>
      <c r="B20">
        <v>53.55</v>
      </c>
      <c r="C20">
        <v>2018</v>
      </c>
      <c r="D20">
        <f>AVERAGE(B218:B229)</f>
        <v>52.638666666666666</v>
      </c>
      <c r="I20">
        <v>3.3</v>
      </c>
    </row>
    <row r="21" spans="1:9" x14ac:dyDescent="0.35">
      <c r="A21" s="85">
        <v>37104</v>
      </c>
      <c r="B21">
        <v>51</v>
      </c>
      <c r="C21">
        <v>2019</v>
      </c>
      <c r="D21">
        <f>AVERAGE(B230:B241)</f>
        <v>51.570833333333347</v>
      </c>
    </row>
    <row r="22" spans="1:9" x14ac:dyDescent="0.35">
      <c r="A22" s="85">
        <v>37135</v>
      </c>
      <c r="B22">
        <v>51.35</v>
      </c>
      <c r="C22">
        <v>2020</v>
      </c>
      <c r="D22">
        <f>AVERAGE(B242:B253)</f>
        <v>49.518333333333338</v>
      </c>
    </row>
    <row r="23" spans="1:9" x14ac:dyDescent="0.35">
      <c r="A23" s="85">
        <v>37165</v>
      </c>
      <c r="B23">
        <v>51.95</v>
      </c>
      <c r="C23">
        <v>2021</v>
      </c>
      <c r="D23">
        <f>AVERAGE(B254:B265)</f>
        <v>49.384000000000007</v>
      </c>
    </row>
    <row r="24" spans="1:9" x14ac:dyDescent="0.35">
      <c r="A24" s="85">
        <v>37196</v>
      </c>
      <c r="B24">
        <v>51.95</v>
      </c>
      <c r="C24">
        <v>2022</v>
      </c>
      <c r="D24">
        <f>AVERAGE(B266:B277)</f>
        <v>54.521666666666675</v>
      </c>
    </row>
    <row r="25" spans="1:9" x14ac:dyDescent="0.35">
      <c r="A25" s="85">
        <v>37226</v>
      </c>
      <c r="B25">
        <v>51.55</v>
      </c>
      <c r="C25">
        <v>2023</v>
      </c>
      <c r="D25">
        <f>AVERAGE(B278:B289)</f>
        <v>55.609666666666669</v>
      </c>
    </row>
    <row r="26" spans="1:9" x14ac:dyDescent="0.35">
      <c r="A26" s="85">
        <v>37257</v>
      </c>
      <c r="B26">
        <v>51.225000000000001</v>
      </c>
      <c r="C26">
        <v>2024</v>
      </c>
      <c r="D26">
        <f>AVERAGE(B290:B298)</f>
        <v>57.149444444444448</v>
      </c>
    </row>
    <row r="27" spans="1:9" x14ac:dyDescent="0.35">
      <c r="A27" s="85">
        <v>37288</v>
      </c>
      <c r="B27">
        <v>51.25</v>
      </c>
    </row>
    <row r="28" spans="1:9" x14ac:dyDescent="0.35">
      <c r="A28" s="85">
        <v>37316</v>
      </c>
      <c r="B28">
        <v>51.02</v>
      </c>
    </row>
    <row r="29" spans="1:9" x14ac:dyDescent="0.35">
      <c r="A29" s="85">
        <v>37347</v>
      </c>
      <c r="B29">
        <v>50.625</v>
      </c>
    </row>
    <row r="30" spans="1:9" x14ac:dyDescent="0.35">
      <c r="A30" s="85">
        <v>37377</v>
      </c>
      <c r="B30">
        <v>50.174999999999997</v>
      </c>
    </row>
    <row r="31" spans="1:9" x14ac:dyDescent="0.35">
      <c r="A31" s="85">
        <v>37408</v>
      </c>
      <c r="B31">
        <v>50.325000000000003</v>
      </c>
    </row>
    <row r="32" spans="1:9" x14ac:dyDescent="0.35">
      <c r="A32" s="85">
        <v>37438</v>
      </c>
      <c r="B32">
        <v>51.274999999999999</v>
      </c>
    </row>
    <row r="33" spans="1:2" x14ac:dyDescent="0.35">
      <c r="A33" s="85">
        <v>37469</v>
      </c>
      <c r="B33">
        <v>51.844999999999999</v>
      </c>
    </row>
    <row r="34" spans="1:2" x14ac:dyDescent="0.35">
      <c r="A34" s="85">
        <v>37500</v>
      </c>
      <c r="B34">
        <v>52.424999999999997</v>
      </c>
    </row>
    <row r="35" spans="1:2" x14ac:dyDescent="0.35">
      <c r="A35" s="85">
        <v>37530</v>
      </c>
      <c r="B35">
        <v>53.125</v>
      </c>
    </row>
    <row r="36" spans="1:2" x14ac:dyDescent="0.35">
      <c r="A36" s="85">
        <v>37561</v>
      </c>
      <c r="B36">
        <v>53.524999999999999</v>
      </c>
    </row>
    <row r="37" spans="1:2" x14ac:dyDescent="0.35">
      <c r="A37" s="85">
        <v>37591</v>
      </c>
      <c r="B37">
        <v>53.384999999999998</v>
      </c>
    </row>
    <row r="38" spans="1:2" x14ac:dyDescent="0.35">
      <c r="A38" s="85">
        <v>37622</v>
      </c>
      <c r="B38">
        <v>53.825000000000003</v>
      </c>
    </row>
    <row r="39" spans="1:2" x14ac:dyDescent="0.35">
      <c r="A39" s="85">
        <v>37653</v>
      </c>
      <c r="B39">
        <v>54.524999999999999</v>
      </c>
    </row>
    <row r="40" spans="1:2" x14ac:dyDescent="0.35">
      <c r="A40" s="85">
        <v>37681</v>
      </c>
      <c r="B40">
        <v>53.524999999999999</v>
      </c>
    </row>
    <row r="41" spans="1:2" x14ac:dyDescent="0.35">
      <c r="A41" s="85">
        <v>37712</v>
      </c>
      <c r="B41">
        <v>52.475000000000001</v>
      </c>
    </row>
    <row r="42" spans="1:2" x14ac:dyDescent="0.35">
      <c r="A42" s="85">
        <v>37742</v>
      </c>
      <c r="B42">
        <v>53.174999999999997</v>
      </c>
    </row>
    <row r="43" spans="1:2" x14ac:dyDescent="0.35">
      <c r="A43" s="85">
        <v>37773</v>
      </c>
      <c r="B43">
        <v>53.475000000000001</v>
      </c>
    </row>
    <row r="44" spans="1:2" x14ac:dyDescent="0.35">
      <c r="A44" s="85">
        <v>37803</v>
      </c>
      <c r="B44">
        <v>54.765000000000001</v>
      </c>
    </row>
    <row r="45" spans="1:2" x14ac:dyDescent="0.35">
      <c r="A45" s="85">
        <v>37834</v>
      </c>
      <c r="B45">
        <v>54.99</v>
      </c>
    </row>
    <row r="46" spans="1:2" x14ac:dyDescent="0.35">
      <c r="A46" s="85">
        <v>37865</v>
      </c>
      <c r="B46">
        <v>54.88</v>
      </c>
    </row>
    <row r="47" spans="1:2" x14ac:dyDescent="0.35">
      <c r="A47" s="85">
        <v>37895</v>
      </c>
      <c r="B47">
        <v>55.4</v>
      </c>
    </row>
    <row r="48" spans="1:2" x14ac:dyDescent="0.35">
      <c r="A48" s="85">
        <v>37926</v>
      </c>
      <c r="B48">
        <v>55.674999999999997</v>
      </c>
    </row>
    <row r="49" spans="1:2" x14ac:dyDescent="0.35">
      <c r="A49" s="85">
        <v>37956</v>
      </c>
      <c r="B49">
        <v>55.54</v>
      </c>
    </row>
    <row r="50" spans="1:2" x14ac:dyDescent="0.35">
      <c r="A50" s="85">
        <v>37987</v>
      </c>
      <c r="B50">
        <v>55.8</v>
      </c>
    </row>
    <row r="51" spans="1:2" x14ac:dyDescent="0.35">
      <c r="A51" s="85">
        <v>38018</v>
      </c>
      <c r="B51">
        <v>56.35</v>
      </c>
    </row>
    <row r="52" spans="1:2" x14ac:dyDescent="0.35">
      <c r="A52" s="85">
        <v>38047</v>
      </c>
      <c r="B52">
        <v>56.174999999999997</v>
      </c>
    </row>
    <row r="53" spans="1:2" x14ac:dyDescent="0.35">
      <c r="A53" s="85">
        <v>38078</v>
      </c>
      <c r="B53">
        <v>56.02</v>
      </c>
    </row>
    <row r="54" spans="1:2" x14ac:dyDescent="0.35">
      <c r="A54" s="85">
        <v>38108</v>
      </c>
      <c r="B54">
        <v>55.77</v>
      </c>
    </row>
    <row r="55" spans="1:2" x14ac:dyDescent="0.35">
      <c r="A55" s="85">
        <v>38139</v>
      </c>
      <c r="B55">
        <v>56.03</v>
      </c>
    </row>
    <row r="56" spans="1:2" x14ac:dyDescent="0.35">
      <c r="A56" s="85">
        <v>38169</v>
      </c>
      <c r="B56">
        <v>56</v>
      </c>
    </row>
    <row r="57" spans="1:2" x14ac:dyDescent="0.35">
      <c r="A57" s="85">
        <v>38200</v>
      </c>
      <c r="B57">
        <v>56.1</v>
      </c>
    </row>
    <row r="58" spans="1:2" x14ac:dyDescent="0.35">
      <c r="A58" s="85">
        <v>38231</v>
      </c>
      <c r="B58">
        <v>56.21</v>
      </c>
    </row>
    <row r="59" spans="1:2" x14ac:dyDescent="0.35">
      <c r="A59" s="85">
        <v>38261</v>
      </c>
      <c r="B59">
        <v>56.28</v>
      </c>
    </row>
    <row r="60" spans="1:2" x14ac:dyDescent="0.35">
      <c r="A60" s="85">
        <v>38292</v>
      </c>
      <c r="B60">
        <v>56.18</v>
      </c>
    </row>
    <row r="61" spans="1:2" x14ac:dyDescent="0.35">
      <c r="A61" s="85">
        <v>38322</v>
      </c>
      <c r="B61">
        <v>56.125</v>
      </c>
    </row>
    <row r="62" spans="1:2" x14ac:dyDescent="0.35">
      <c r="A62" s="85">
        <v>38353</v>
      </c>
      <c r="B62">
        <v>55.08</v>
      </c>
    </row>
    <row r="63" spans="1:2" x14ac:dyDescent="0.35">
      <c r="A63" s="85">
        <v>38384</v>
      </c>
      <c r="B63">
        <v>54.67</v>
      </c>
    </row>
    <row r="64" spans="1:2" x14ac:dyDescent="0.35">
      <c r="A64" s="85">
        <v>38412</v>
      </c>
      <c r="B64">
        <v>54.8</v>
      </c>
    </row>
    <row r="65" spans="1:2" x14ac:dyDescent="0.35">
      <c r="A65" s="85">
        <v>38443</v>
      </c>
      <c r="B65">
        <v>54.07</v>
      </c>
    </row>
    <row r="66" spans="1:2" x14ac:dyDescent="0.35">
      <c r="A66" s="85">
        <v>38473</v>
      </c>
      <c r="B66">
        <v>54.45</v>
      </c>
    </row>
    <row r="67" spans="1:2" x14ac:dyDescent="0.35">
      <c r="A67" s="85">
        <v>38504</v>
      </c>
      <c r="B67">
        <v>55.975000000000001</v>
      </c>
    </row>
    <row r="68" spans="1:2" x14ac:dyDescent="0.35">
      <c r="A68" s="85">
        <v>38534</v>
      </c>
      <c r="B68">
        <v>56.155000000000001</v>
      </c>
    </row>
    <row r="69" spans="1:2" x14ac:dyDescent="0.35">
      <c r="A69" s="85">
        <v>38565</v>
      </c>
      <c r="B69">
        <v>56.274999999999999</v>
      </c>
    </row>
    <row r="70" spans="1:2" x14ac:dyDescent="0.35">
      <c r="A70" s="85">
        <v>38596</v>
      </c>
      <c r="B70">
        <v>56.03</v>
      </c>
    </row>
    <row r="71" spans="1:2" x14ac:dyDescent="0.35">
      <c r="A71" s="85">
        <v>38626</v>
      </c>
      <c r="B71">
        <v>54.92</v>
      </c>
    </row>
    <row r="72" spans="1:2" x14ac:dyDescent="0.35">
      <c r="A72" s="85">
        <v>38657</v>
      </c>
      <c r="B72">
        <v>54.01</v>
      </c>
    </row>
    <row r="73" spans="1:2" x14ac:dyDescent="0.35">
      <c r="A73" s="85">
        <v>38687</v>
      </c>
      <c r="B73">
        <v>53.03</v>
      </c>
    </row>
    <row r="74" spans="1:2" x14ac:dyDescent="0.35">
      <c r="A74" s="85">
        <v>38718</v>
      </c>
      <c r="B74">
        <v>52.085000000000001</v>
      </c>
    </row>
    <row r="75" spans="1:2" x14ac:dyDescent="0.35">
      <c r="A75" s="85">
        <v>38749</v>
      </c>
      <c r="B75">
        <v>51.7</v>
      </c>
    </row>
    <row r="76" spans="1:2" x14ac:dyDescent="0.35">
      <c r="A76" s="85">
        <v>38777</v>
      </c>
      <c r="B76">
        <v>51.1</v>
      </c>
    </row>
    <row r="77" spans="1:2" x14ac:dyDescent="0.35">
      <c r="A77" s="85">
        <v>38808</v>
      </c>
      <c r="B77">
        <v>51.715000000000003</v>
      </c>
    </row>
    <row r="78" spans="1:2" x14ac:dyDescent="0.35">
      <c r="A78" s="85">
        <v>38838</v>
      </c>
      <c r="B78">
        <v>52.86</v>
      </c>
    </row>
    <row r="79" spans="1:2" x14ac:dyDescent="0.35">
      <c r="A79" s="85">
        <v>38869</v>
      </c>
      <c r="B79">
        <v>53.03</v>
      </c>
    </row>
    <row r="80" spans="1:2" x14ac:dyDescent="0.35">
      <c r="A80" s="85">
        <v>38899</v>
      </c>
      <c r="B80">
        <v>51.475000000000001</v>
      </c>
    </row>
    <row r="81" spans="1:2" x14ac:dyDescent="0.35">
      <c r="A81" s="85">
        <v>38930</v>
      </c>
      <c r="B81">
        <v>50.8</v>
      </c>
    </row>
    <row r="82" spans="1:2" x14ac:dyDescent="0.35">
      <c r="A82" s="85">
        <v>38961</v>
      </c>
      <c r="B82">
        <v>50.13</v>
      </c>
    </row>
    <row r="83" spans="1:2" x14ac:dyDescent="0.35">
      <c r="A83" s="85">
        <v>38991</v>
      </c>
      <c r="B83">
        <v>49.84</v>
      </c>
    </row>
    <row r="84" spans="1:2" x14ac:dyDescent="0.35">
      <c r="A84" s="85">
        <v>39022</v>
      </c>
      <c r="B84">
        <v>49.534999999999997</v>
      </c>
    </row>
    <row r="85" spans="1:2" x14ac:dyDescent="0.35">
      <c r="A85" s="85">
        <v>39052</v>
      </c>
      <c r="B85">
        <v>49.05</v>
      </c>
    </row>
    <row r="86" spans="1:2" x14ac:dyDescent="0.35">
      <c r="A86" s="85">
        <v>39083</v>
      </c>
      <c r="B86">
        <v>48.825000000000003</v>
      </c>
    </row>
    <row r="87" spans="1:2" x14ac:dyDescent="0.35">
      <c r="A87" s="85">
        <v>39114</v>
      </c>
      <c r="B87">
        <v>48.3</v>
      </c>
    </row>
    <row r="88" spans="1:2" x14ac:dyDescent="0.35">
      <c r="A88" s="85">
        <v>39142</v>
      </c>
      <c r="B88">
        <v>48.125</v>
      </c>
    </row>
    <row r="89" spans="1:2" x14ac:dyDescent="0.35">
      <c r="A89" s="85">
        <v>39173</v>
      </c>
      <c r="B89">
        <v>47.42</v>
      </c>
    </row>
    <row r="90" spans="1:2" x14ac:dyDescent="0.35">
      <c r="A90" s="85">
        <v>39203</v>
      </c>
      <c r="B90">
        <v>46.25</v>
      </c>
    </row>
    <row r="91" spans="1:2" x14ac:dyDescent="0.35">
      <c r="A91" s="85">
        <v>39234</v>
      </c>
      <c r="B91">
        <v>46.22</v>
      </c>
    </row>
    <row r="92" spans="1:2" x14ac:dyDescent="0.35">
      <c r="A92" s="85">
        <v>39264</v>
      </c>
      <c r="B92">
        <v>45.4</v>
      </c>
    </row>
    <row r="93" spans="1:2" x14ac:dyDescent="0.35">
      <c r="A93" s="85">
        <v>39295</v>
      </c>
      <c r="B93">
        <v>46.475000000000001</v>
      </c>
    </row>
    <row r="94" spans="1:2" x14ac:dyDescent="0.35">
      <c r="A94" s="85">
        <v>39326</v>
      </c>
      <c r="B94">
        <v>45.2</v>
      </c>
    </row>
    <row r="95" spans="1:2" x14ac:dyDescent="0.35">
      <c r="A95" s="85">
        <v>39356</v>
      </c>
      <c r="B95">
        <v>43.424999999999997</v>
      </c>
    </row>
    <row r="96" spans="1:2" x14ac:dyDescent="0.35">
      <c r="A96" s="85">
        <v>39387</v>
      </c>
      <c r="B96">
        <v>42.35</v>
      </c>
    </row>
    <row r="97" spans="1:2" x14ac:dyDescent="0.35">
      <c r="A97" s="85">
        <v>39417</v>
      </c>
      <c r="B97">
        <v>41.23</v>
      </c>
    </row>
    <row r="98" spans="1:2" x14ac:dyDescent="0.35">
      <c r="A98" s="85">
        <v>39448</v>
      </c>
      <c r="B98">
        <v>40.4</v>
      </c>
    </row>
    <row r="99" spans="1:2" x14ac:dyDescent="0.35">
      <c r="A99" s="85">
        <v>39479</v>
      </c>
      <c r="B99">
        <v>40.4</v>
      </c>
    </row>
    <row r="100" spans="1:2" x14ac:dyDescent="0.35">
      <c r="A100" s="85">
        <v>39508</v>
      </c>
      <c r="B100">
        <v>41.81</v>
      </c>
    </row>
    <row r="101" spans="1:2" x14ac:dyDescent="0.35">
      <c r="A101" s="85">
        <v>39539</v>
      </c>
      <c r="B101">
        <v>42.215000000000003</v>
      </c>
    </row>
    <row r="102" spans="1:2" x14ac:dyDescent="0.35">
      <c r="A102" s="85">
        <v>39569</v>
      </c>
      <c r="B102">
        <v>43.435000000000002</v>
      </c>
    </row>
    <row r="103" spans="1:2" x14ac:dyDescent="0.35">
      <c r="A103" s="85">
        <v>39600</v>
      </c>
      <c r="B103">
        <v>44.825000000000003</v>
      </c>
    </row>
    <row r="104" spans="1:2" x14ac:dyDescent="0.35">
      <c r="A104" s="85">
        <v>39630</v>
      </c>
      <c r="B104">
        <v>44.244999999999997</v>
      </c>
    </row>
    <row r="105" spans="1:2" x14ac:dyDescent="0.35">
      <c r="A105" s="85">
        <v>39661</v>
      </c>
      <c r="B105">
        <v>46.024999999999999</v>
      </c>
    </row>
    <row r="106" spans="1:2" x14ac:dyDescent="0.35">
      <c r="A106" s="85">
        <v>39692</v>
      </c>
      <c r="B106">
        <v>47.3</v>
      </c>
    </row>
    <row r="107" spans="1:2" x14ac:dyDescent="0.35">
      <c r="A107" s="85">
        <v>39722</v>
      </c>
      <c r="B107">
        <v>48.87</v>
      </c>
    </row>
    <row r="108" spans="1:2" x14ac:dyDescent="0.35">
      <c r="A108" s="85">
        <v>39753</v>
      </c>
      <c r="B108">
        <v>48.95</v>
      </c>
    </row>
    <row r="109" spans="1:2" x14ac:dyDescent="0.35">
      <c r="A109" s="85">
        <v>39783</v>
      </c>
      <c r="B109">
        <v>47.47</v>
      </c>
    </row>
    <row r="110" spans="1:2" x14ac:dyDescent="0.35">
      <c r="A110" s="85">
        <v>39814</v>
      </c>
      <c r="B110">
        <v>46.475000000000001</v>
      </c>
    </row>
    <row r="111" spans="1:2" x14ac:dyDescent="0.35">
      <c r="A111" s="85">
        <v>39845</v>
      </c>
      <c r="B111">
        <v>48.69</v>
      </c>
    </row>
    <row r="112" spans="1:2" x14ac:dyDescent="0.35">
      <c r="A112" s="85">
        <v>39873</v>
      </c>
      <c r="B112">
        <v>48.24</v>
      </c>
    </row>
    <row r="113" spans="1:2" x14ac:dyDescent="0.35">
      <c r="A113" s="85">
        <v>39904</v>
      </c>
      <c r="B113">
        <v>48.1</v>
      </c>
    </row>
    <row r="114" spans="1:2" x14ac:dyDescent="0.35">
      <c r="A114" s="85">
        <v>39934</v>
      </c>
      <c r="B114">
        <v>47.17</v>
      </c>
    </row>
    <row r="115" spans="1:2" x14ac:dyDescent="0.35">
      <c r="A115" s="85">
        <v>39965</v>
      </c>
      <c r="B115">
        <v>48.16</v>
      </c>
    </row>
    <row r="116" spans="1:2" x14ac:dyDescent="0.35">
      <c r="A116" s="85">
        <v>39995</v>
      </c>
      <c r="B116">
        <v>48.02</v>
      </c>
    </row>
    <row r="117" spans="1:2" x14ac:dyDescent="0.35">
      <c r="A117" s="85">
        <v>40026</v>
      </c>
      <c r="B117">
        <v>48.8</v>
      </c>
    </row>
    <row r="118" spans="1:2" x14ac:dyDescent="0.35">
      <c r="A118" s="85">
        <v>40057</v>
      </c>
      <c r="B118">
        <v>47.6</v>
      </c>
    </row>
    <row r="119" spans="1:2" x14ac:dyDescent="0.35">
      <c r="A119" s="85">
        <v>40087</v>
      </c>
      <c r="B119">
        <v>47.475000000000001</v>
      </c>
    </row>
    <row r="120" spans="1:2" x14ac:dyDescent="0.35">
      <c r="A120" s="85">
        <v>40118</v>
      </c>
      <c r="B120">
        <v>47.104999999999997</v>
      </c>
    </row>
    <row r="121" spans="1:2" x14ac:dyDescent="0.35">
      <c r="A121" s="85">
        <v>40148</v>
      </c>
      <c r="B121">
        <v>46.5</v>
      </c>
    </row>
    <row r="122" spans="1:2" x14ac:dyDescent="0.35">
      <c r="A122" s="85">
        <v>40179</v>
      </c>
      <c r="B122">
        <v>46.5</v>
      </c>
    </row>
    <row r="123" spans="1:2" x14ac:dyDescent="0.35">
      <c r="A123" s="85">
        <v>40210</v>
      </c>
      <c r="B123">
        <v>46.35</v>
      </c>
    </row>
    <row r="124" spans="1:2" x14ac:dyDescent="0.35">
      <c r="A124" s="85">
        <v>40238</v>
      </c>
      <c r="B124">
        <v>45.174999999999997</v>
      </c>
    </row>
    <row r="125" spans="1:2" x14ac:dyDescent="0.35">
      <c r="A125" s="85">
        <v>40269</v>
      </c>
      <c r="B125">
        <v>44.5</v>
      </c>
    </row>
    <row r="126" spans="1:2" x14ac:dyDescent="0.35">
      <c r="A126" s="85">
        <v>40299</v>
      </c>
      <c r="B126">
        <v>46.26</v>
      </c>
    </row>
    <row r="127" spans="1:2" x14ac:dyDescent="0.35">
      <c r="A127" s="85">
        <v>40330</v>
      </c>
      <c r="B127">
        <v>46.34</v>
      </c>
    </row>
    <row r="128" spans="1:2" x14ac:dyDescent="0.35">
      <c r="A128" s="85">
        <v>40360</v>
      </c>
      <c r="B128">
        <v>45.42</v>
      </c>
    </row>
    <row r="129" spans="1:2" x14ac:dyDescent="0.35">
      <c r="A129" s="85">
        <v>40391</v>
      </c>
      <c r="B129">
        <v>45.225000000000001</v>
      </c>
    </row>
    <row r="130" spans="1:2" x14ac:dyDescent="0.35">
      <c r="A130" s="85">
        <v>40422</v>
      </c>
      <c r="B130">
        <v>43.884999999999998</v>
      </c>
    </row>
    <row r="131" spans="1:2" x14ac:dyDescent="0.35">
      <c r="A131" s="85">
        <v>40452</v>
      </c>
      <c r="B131">
        <v>42.8</v>
      </c>
    </row>
    <row r="132" spans="1:2" x14ac:dyDescent="0.35">
      <c r="A132" s="85">
        <v>40483</v>
      </c>
      <c r="B132">
        <v>44.05</v>
      </c>
    </row>
    <row r="133" spans="1:2" x14ac:dyDescent="0.35">
      <c r="A133" s="85">
        <v>40513</v>
      </c>
      <c r="B133">
        <v>43.63</v>
      </c>
    </row>
    <row r="134" spans="1:2" x14ac:dyDescent="0.35">
      <c r="A134" s="85">
        <v>40544</v>
      </c>
      <c r="B134">
        <v>44.22</v>
      </c>
    </row>
    <row r="135" spans="1:2" x14ac:dyDescent="0.35">
      <c r="A135" s="85">
        <v>40575</v>
      </c>
      <c r="B135">
        <v>43.54</v>
      </c>
    </row>
    <row r="136" spans="1:2" x14ac:dyDescent="0.35">
      <c r="A136" s="85">
        <v>40603</v>
      </c>
      <c r="B136">
        <v>43.44</v>
      </c>
    </row>
    <row r="137" spans="1:2" x14ac:dyDescent="0.35">
      <c r="A137" s="85">
        <v>40634</v>
      </c>
      <c r="B137">
        <v>42.78</v>
      </c>
    </row>
    <row r="138" spans="1:2" x14ac:dyDescent="0.35">
      <c r="A138" s="85">
        <v>40664</v>
      </c>
      <c r="B138">
        <v>43.185000000000002</v>
      </c>
    </row>
    <row r="139" spans="1:2" x14ac:dyDescent="0.35">
      <c r="A139" s="85">
        <v>40695</v>
      </c>
      <c r="B139">
        <v>43.33</v>
      </c>
    </row>
    <row r="140" spans="1:2" x14ac:dyDescent="0.35">
      <c r="A140" s="85">
        <v>40725</v>
      </c>
      <c r="B140">
        <v>42.13</v>
      </c>
    </row>
    <row r="141" spans="1:2" x14ac:dyDescent="0.35">
      <c r="A141" s="85">
        <v>40756</v>
      </c>
      <c r="B141">
        <v>42.4</v>
      </c>
    </row>
    <row r="142" spans="1:2" x14ac:dyDescent="0.35">
      <c r="A142" s="85">
        <v>40787</v>
      </c>
      <c r="B142">
        <v>43.72</v>
      </c>
    </row>
    <row r="143" spans="1:2" x14ac:dyDescent="0.35">
      <c r="A143" s="85">
        <v>40817</v>
      </c>
      <c r="B143">
        <v>42.61</v>
      </c>
    </row>
    <row r="144" spans="1:2" x14ac:dyDescent="0.35">
      <c r="A144" s="85">
        <v>40848</v>
      </c>
      <c r="B144">
        <v>43.62</v>
      </c>
    </row>
    <row r="145" spans="1:2" x14ac:dyDescent="0.35">
      <c r="A145" s="85">
        <v>40878</v>
      </c>
      <c r="B145">
        <v>43.79</v>
      </c>
    </row>
    <row r="146" spans="1:2" x14ac:dyDescent="0.35">
      <c r="A146" s="85">
        <v>40909</v>
      </c>
      <c r="B146">
        <v>42.84</v>
      </c>
    </row>
    <row r="147" spans="1:2" x14ac:dyDescent="0.35">
      <c r="A147" s="85">
        <v>40940</v>
      </c>
      <c r="B147">
        <v>42.74</v>
      </c>
    </row>
    <row r="148" spans="1:2" x14ac:dyDescent="0.35">
      <c r="A148" s="85">
        <v>40969</v>
      </c>
      <c r="B148">
        <v>42.88</v>
      </c>
    </row>
    <row r="149" spans="1:2" x14ac:dyDescent="0.35">
      <c r="A149" s="85">
        <v>41000</v>
      </c>
      <c r="B149">
        <v>42.14</v>
      </c>
    </row>
    <row r="150" spans="1:2" x14ac:dyDescent="0.35">
      <c r="A150" s="85">
        <v>41030</v>
      </c>
      <c r="B150">
        <v>43.4</v>
      </c>
    </row>
    <row r="151" spans="1:2" x14ac:dyDescent="0.35">
      <c r="A151" s="85">
        <v>41061</v>
      </c>
      <c r="B151">
        <v>41.88</v>
      </c>
    </row>
    <row r="152" spans="1:2" x14ac:dyDescent="0.35">
      <c r="A152" s="85">
        <v>41091</v>
      </c>
      <c r="B152">
        <v>41.72</v>
      </c>
    </row>
    <row r="153" spans="1:2" x14ac:dyDescent="0.35">
      <c r="A153" s="85">
        <v>41122</v>
      </c>
      <c r="B153">
        <v>42.104999999999997</v>
      </c>
    </row>
    <row r="154" spans="1:2" x14ac:dyDescent="0.35">
      <c r="A154" s="85">
        <v>41153</v>
      </c>
      <c r="B154">
        <v>41.65</v>
      </c>
    </row>
    <row r="155" spans="1:2" x14ac:dyDescent="0.35">
      <c r="A155" s="85">
        <v>41183</v>
      </c>
      <c r="B155">
        <v>41.05</v>
      </c>
    </row>
    <row r="156" spans="1:2" x14ac:dyDescent="0.35">
      <c r="A156" s="85">
        <v>41214</v>
      </c>
      <c r="B156">
        <v>40.75</v>
      </c>
    </row>
    <row r="157" spans="1:2" x14ac:dyDescent="0.35">
      <c r="A157" s="85">
        <v>41244</v>
      </c>
      <c r="B157">
        <v>41.01</v>
      </c>
    </row>
    <row r="158" spans="1:2" x14ac:dyDescent="0.35">
      <c r="A158" s="85">
        <v>41275</v>
      </c>
      <c r="B158">
        <v>40.659999999999997</v>
      </c>
    </row>
    <row r="159" spans="1:2" x14ac:dyDescent="0.35">
      <c r="A159" s="85">
        <v>41306</v>
      </c>
      <c r="B159">
        <v>40.6</v>
      </c>
    </row>
    <row r="160" spans="1:2" x14ac:dyDescent="0.35">
      <c r="A160" s="85">
        <v>41334</v>
      </c>
      <c r="B160">
        <v>40.825000000000003</v>
      </c>
    </row>
    <row r="161" spans="1:2" x14ac:dyDescent="0.35">
      <c r="A161" s="85">
        <v>41365</v>
      </c>
      <c r="B161">
        <v>41.15</v>
      </c>
    </row>
    <row r="162" spans="1:2" x14ac:dyDescent="0.35">
      <c r="A162" s="85">
        <v>41395</v>
      </c>
      <c r="B162">
        <v>42.295000000000002</v>
      </c>
    </row>
    <row r="163" spans="1:2" x14ac:dyDescent="0.35">
      <c r="A163" s="85">
        <v>41426</v>
      </c>
      <c r="B163">
        <v>43.075000000000003</v>
      </c>
    </row>
    <row r="164" spans="1:2" x14ac:dyDescent="0.35">
      <c r="A164" s="85">
        <v>41456</v>
      </c>
      <c r="B164">
        <v>43.4</v>
      </c>
    </row>
    <row r="165" spans="1:2" x14ac:dyDescent="0.35">
      <c r="A165" s="85">
        <v>41487</v>
      </c>
      <c r="B165">
        <v>44.545000000000002</v>
      </c>
    </row>
    <row r="166" spans="1:2" x14ac:dyDescent="0.35">
      <c r="A166" s="85">
        <v>41518</v>
      </c>
      <c r="B166">
        <v>43.45</v>
      </c>
    </row>
    <row r="167" spans="1:2" x14ac:dyDescent="0.35">
      <c r="A167" s="85">
        <v>41548</v>
      </c>
      <c r="B167">
        <v>43.2</v>
      </c>
    </row>
    <row r="168" spans="1:2" x14ac:dyDescent="0.35">
      <c r="A168" s="85">
        <v>41579</v>
      </c>
      <c r="B168">
        <v>43.664999999999999</v>
      </c>
    </row>
    <row r="169" spans="1:2" x14ac:dyDescent="0.35">
      <c r="A169" s="85">
        <v>41609</v>
      </c>
      <c r="B169">
        <v>44.37</v>
      </c>
    </row>
    <row r="170" spans="1:2" x14ac:dyDescent="0.35">
      <c r="A170" s="85">
        <v>41640</v>
      </c>
      <c r="B170">
        <v>45.35</v>
      </c>
    </row>
    <row r="171" spans="1:2" x14ac:dyDescent="0.35">
      <c r="A171" s="85">
        <v>41671</v>
      </c>
      <c r="B171">
        <v>44.62</v>
      </c>
    </row>
    <row r="172" spans="1:2" x14ac:dyDescent="0.35">
      <c r="A172" s="85">
        <v>41699</v>
      </c>
      <c r="B172">
        <v>44.74</v>
      </c>
    </row>
    <row r="173" spans="1:2" x14ac:dyDescent="0.35">
      <c r="A173" s="85">
        <v>41730</v>
      </c>
      <c r="B173">
        <v>44.54</v>
      </c>
    </row>
    <row r="174" spans="1:2" x14ac:dyDescent="0.35">
      <c r="A174" s="85">
        <v>41760</v>
      </c>
      <c r="B174">
        <v>43.82</v>
      </c>
    </row>
    <row r="175" spans="1:2" x14ac:dyDescent="0.35">
      <c r="A175" s="85">
        <v>41791</v>
      </c>
      <c r="B175">
        <v>43.6</v>
      </c>
    </row>
    <row r="176" spans="1:2" x14ac:dyDescent="0.35">
      <c r="A176" s="85">
        <v>41821</v>
      </c>
      <c r="B176">
        <v>43.59</v>
      </c>
    </row>
    <row r="177" spans="1:2" x14ac:dyDescent="0.35">
      <c r="A177" s="85">
        <v>41852</v>
      </c>
      <c r="B177">
        <v>43.640999999999998</v>
      </c>
    </row>
    <row r="178" spans="1:2" x14ac:dyDescent="0.35">
      <c r="A178" s="85">
        <v>41883</v>
      </c>
      <c r="B178">
        <v>44.93</v>
      </c>
    </row>
    <row r="179" spans="1:2" x14ac:dyDescent="0.35">
      <c r="A179" s="85">
        <v>41913</v>
      </c>
      <c r="B179">
        <v>44.95</v>
      </c>
    </row>
    <row r="180" spans="1:2" x14ac:dyDescent="0.35">
      <c r="A180" s="85">
        <v>41944</v>
      </c>
      <c r="B180">
        <v>44.9</v>
      </c>
    </row>
    <row r="181" spans="1:2" x14ac:dyDescent="0.35">
      <c r="A181" s="85">
        <v>41974</v>
      </c>
      <c r="B181">
        <v>44.75</v>
      </c>
    </row>
    <row r="182" spans="1:2" x14ac:dyDescent="0.35">
      <c r="A182" s="85">
        <v>42005</v>
      </c>
      <c r="B182">
        <v>44.15</v>
      </c>
    </row>
    <row r="183" spans="1:2" x14ac:dyDescent="0.35">
      <c r="A183" s="85">
        <v>42036</v>
      </c>
      <c r="B183">
        <v>44.08</v>
      </c>
    </row>
    <row r="184" spans="1:2" x14ac:dyDescent="0.35">
      <c r="A184" s="85">
        <v>42064</v>
      </c>
      <c r="B184">
        <v>44.65</v>
      </c>
    </row>
    <row r="185" spans="1:2" x14ac:dyDescent="0.35">
      <c r="A185" s="85">
        <v>42095</v>
      </c>
      <c r="B185">
        <v>44.59</v>
      </c>
    </row>
    <row r="186" spans="1:2" x14ac:dyDescent="0.35">
      <c r="A186" s="85">
        <v>42125</v>
      </c>
      <c r="B186">
        <v>44.51</v>
      </c>
    </row>
    <row r="187" spans="1:2" x14ac:dyDescent="0.35">
      <c r="A187" s="85">
        <v>42156</v>
      </c>
      <c r="B187">
        <v>45.087000000000003</v>
      </c>
    </row>
    <row r="188" spans="1:2" x14ac:dyDescent="0.35">
      <c r="A188" s="85">
        <v>42186</v>
      </c>
      <c r="B188">
        <v>45.65</v>
      </c>
    </row>
    <row r="189" spans="1:2" x14ac:dyDescent="0.35">
      <c r="A189" s="85">
        <v>42217</v>
      </c>
      <c r="B189">
        <v>46.73</v>
      </c>
    </row>
    <row r="190" spans="1:2" x14ac:dyDescent="0.35">
      <c r="A190" s="85">
        <v>42248</v>
      </c>
      <c r="B190">
        <v>46.7</v>
      </c>
    </row>
    <row r="191" spans="1:2" x14ac:dyDescent="0.35">
      <c r="A191" s="85">
        <v>42278</v>
      </c>
      <c r="B191">
        <v>46.69</v>
      </c>
    </row>
    <row r="192" spans="1:2" x14ac:dyDescent="0.35">
      <c r="A192" s="85">
        <v>42309</v>
      </c>
      <c r="B192">
        <v>47.13</v>
      </c>
    </row>
    <row r="193" spans="1:2" x14ac:dyDescent="0.35">
      <c r="A193" s="85">
        <v>42339</v>
      </c>
      <c r="B193">
        <v>46.9</v>
      </c>
    </row>
    <row r="194" spans="1:2" x14ac:dyDescent="0.35">
      <c r="A194" s="85">
        <v>42370</v>
      </c>
      <c r="B194">
        <v>47.68</v>
      </c>
    </row>
    <row r="195" spans="1:2" x14ac:dyDescent="0.35">
      <c r="A195" s="85">
        <v>42401</v>
      </c>
      <c r="B195">
        <v>47.46</v>
      </c>
    </row>
    <row r="196" spans="1:2" x14ac:dyDescent="0.35">
      <c r="A196" s="85">
        <v>42430</v>
      </c>
      <c r="B196">
        <v>45.91</v>
      </c>
    </row>
    <row r="197" spans="1:2" x14ac:dyDescent="0.35">
      <c r="A197" s="85">
        <v>42461</v>
      </c>
      <c r="B197">
        <v>47.01</v>
      </c>
    </row>
    <row r="198" spans="1:2" x14ac:dyDescent="0.35">
      <c r="A198" s="85">
        <v>42491</v>
      </c>
      <c r="B198">
        <v>46.74</v>
      </c>
    </row>
    <row r="199" spans="1:2" x14ac:dyDescent="0.35">
      <c r="A199" s="85">
        <v>42522</v>
      </c>
      <c r="B199">
        <v>47.067</v>
      </c>
    </row>
    <row r="200" spans="1:2" x14ac:dyDescent="0.35">
      <c r="A200" s="85">
        <v>42552</v>
      </c>
      <c r="B200">
        <v>46.97</v>
      </c>
    </row>
    <row r="201" spans="1:2" x14ac:dyDescent="0.35">
      <c r="A201" s="85">
        <v>42583</v>
      </c>
      <c r="B201">
        <v>46.619</v>
      </c>
    </row>
    <row r="202" spans="1:2" x14ac:dyDescent="0.35">
      <c r="A202" s="85">
        <v>42614</v>
      </c>
      <c r="B202">
        <v>48.38</v>
      </c>
    </row>
    <row r="203" spans="1:2" x14ac:dyDescent="0.35">
      <c r="A203" s="85">
        <v>42644</v>
      </c>
      <c r="B203">
        <v>48.48</v>
      </c>
    </row>
    <row r="204" spans="1:2" x14ac:dyDescent="0.35">
      <c r="A204" s="85">
        <v>42675</v>
      </c>
      <c r="B204">
        <v>49.69</v>
      </c>
    </row>
    <row r="205" spans="1:2" x14ac:dyDescent="0.35">
      <c r="A205" s="85">
        <v>42705</v>
      </c>
      <c r="B205">
        <v>49.558999999999997</v>
      </c>
    </row>
    <row r="206" spans="1:2" x14ac:dyDescent="0.35">
      <c r="A206" s="85">
        <v>42736</v>
      </c>
      <c r="B206">
        <v>49.755000000000003</v>
      </c>
    </row>
    <row r="207" spans="1:2" x14ac:dyDescent="0.35">
      <c r="A207" s="85">
        <v>42767</v>
      </c>
      <c r="B207">
        <v>50.247</v>
      </c>
    </row>
    <row r="208" spans="1:2" x14ac:dyDescent="0.35">
      <c r="A208" s="85">
        <v>42795</v>
      </c>
      <c r="B208">
        <v>50.168999999999997</v>
      </c>
    </row>
    <row r="209" spans="1:2" x14ac:dyDescent="0.35">
      <c r="A209" s="85">
        <v>42826</v>
      </c>
      <c r="B209">
        <v>50.207000000000001</v>
      </c>
    </row>
    <row r="210" spans="1:2" x14ac:dyDescent="0.35">
      <c r="A210" s="85">
        <v>42856</v>
      </c>
      <c r="B210">
        <v>49.765000000000001</v>
      </c>
    </row>
    <row r="211" spans="1:2" x14ac:dyDescent="0.35">
      <c r="A211" s="85">
        <v>42887</v>
      </c>
      <c r="B211">
        <v>50.448999999999998</v>
      </c>
    </row>
    <row r="212" spans="1:2" x14ac:dyDescent="0.35">
      <c r="A212" s="85">
        <v>42917</v>
      </c>
      <c r="B212">
        <v>50.448999999999998</v>
      </c>
    </row>
    <row r="213" spans="1:2" x14ac:dyDescent="0.35">
      <c r="A213" s="85">
        <v>42948</v>
      </c>
      <c r="B213">
        <v>51.149000000000001</v>
      </c>
    </row>
    <row r="214" spans="1:2" x14ac:dyDescent="0.35">
      <c r="A214" s="85">
        <v>42979</v>
      </c>
      <c r="B214">
        <v>50.884999999999998</v>
      </c>
    </row>
    <row r="215" spans="1:2" x14ac:dyDescent="0.35">
      <c r="A215" s="85">
        <v>43009</v>
      </c>
      <c r="B215">
        <v>51.587000000000003</v>
      </c>
    </row>
    <row r="216" spans="1:2" x14ac:dyDescent="0.35">
      <c r="A216" s="85">
        <v>43040</v>
      </c>
      <c r="B216">
        <v>50.31</v>
      </c>
    </row>
    <row r="217" spans="1:2" x14ac:dyDescent="0.35">
      <c r="A217" s="85">
        <v>43070</v>
      </c>
      <c r="B217">
        <v>49.976999999999997</v>
      </c>
    </row>
    <row r="218" spans="1:2" x14ac:dyDescent="0.35">
      <c r="A218" s="85">
        <v>43101</v>
      </c>
      <c r="B218">
        <v>51.34</v>
      </c>
    </row>
    <row r="219" spans="1:2" x14ac:dyDescent="0.35">
      <c r="A219" s="85">
        <v>43132</v>
      </c>
      <c r="B219">
        <v>52.079000000000001</v>
      </c>
    </row>
    <row r="220" spans="1:2" x14ac:dyDescent="0.35">
      <c r="A220" s="85">
        <v>43160</v>
      </c>
      <c r="B220">
        <v>52.124000000000002</v>
      </c>
    </row>
    <row r="221" spans="1:2" x14ac:dyDescent="0.35">
      <c r="A221" s="85">
        <v>43191</v>
      </c>
      <c r="B221">
        <v>51.649000000000001</v>
      </c>
    </row>
    <row r="222" spans="1:2" x14ac:dyDescent="0.35">
      <c r="A222" s="85">
        <v>43221</v>
      </c>
      <c r="B222">
        <v>52.540999999999997</v>
      </c>
    </row>
    <row r="223" spans="1:2" x14ac:dyDescent="0.35">
      <c r="A223" s="85">
        <v>43252</v>
      </c>
      <c r="B223">
        <v>53.311</v>
      </c>
    </row>
    <row r="224" spans="1:2" x14ac:dyDescent="0.35">
      <c r="A224" s="85">
        <v>43282</v>
      </c>
      <c r="B224">
        <v>52.99</v>
      </c>
    </row>
    <row r="225" spans="1:2" x14ac:dyDescent="0.35">
      <c r="A225" s="85">
        <v>43313</v>
      </c>
      <c r="B225">
        <v>53.47</v>
      </c>
    </row>
    <row r="226" spans="1:2" x14ac:dyDescent="0.35">
      <c r="A226" s="85">
        <v>43344</v>
      </c>
      <c r="B226">
        <v>53.965000000000003</v>
      </c>
    </row>
    <row r="227" spans="1:2" x14ac:dyDescent="0.35">
      <c r="A227" s="85">
        <v>43374</v>
      </c>
      <c r="B227">
        <v>53.366999999999997</v>
      </c>
    </row>
    <row r="228" spans="1:2" x14ac:dyDescent="0.35">
      <c r="A228" s="85">
        <v>43405</v>
      </c>
      <c r="B228">
        <v>52.357999999999997</v>
      </c>
    </row>
    <row r="229" spans="1:2" x14ac:dyDescent="0.35">
      <c r="A229" s="85">
        <v>43435</v>
      </c>
      <c r="B229">
        <v>52.47</v>
      </c>
    </row>
    <row r="230" spans="1:2" x14ac:dyDescent="0.35">
      <c r="A230" s="85">
        <v>43466</v>
      </c>
      <c r="B230">
        <v>52.1</v>
      </c>
    </row>
    <row r="231" spans="1:2" x14ac:dyDescent="0.35">
      <c r="A231" s="85">
        <v>43497</v>
      </c>
      <c r="B231">
        <v>51.87</v>
      </c>
    </row>
    <row r="232" spans="1:2" x14ac:dyDescent="0.35">
      <c r="A232" s="85">
        <v>43525</v>
      </c>
      <c r="B232">
        <v>52.67</v>
      </c>
    </row>
    <row r="233" spans="1:2" x14ac:dyDescent="0.35">
      <c r="A233" s="85">
        <v>43556</v>
      </c>
      <c r="B233">
        <v>51.75</v>
      </c>
    </row>
    <row r="234" spans="1:2" x14ac:dyDescent="0.35">
      <c r="A234" s="85">
        <v>43586</v>
      </c>
      <c r="B234">
        <v>52.09</v>
      </c>
    </row>
    <row r="235" spans="1:2" x14ac:dyDescent="0.35">
      <c r="A235" s="85">
        <v>43617</v>
      </c>
      <c r="B235">
        <v>51.22</v>
      </c>
    </row>
    <row r="236" spans="1:2" x14ac:dyDescent="0.35">
      <c r="A236" s="85">
        <v>43647</v>
      </c>
      <c r="B236">
        <v>50.98</v>
      </c>
    </row>
    <row r="237" spans="1:2" x14ac:dyDescent="0.35">
      <c r="A237" s="85">
        <v>43678</v>
      </c>
      <c r="B237">
        <v>52.12</v>
      </c>
    </row>
    <row r="238" spans="1:2" x14ac:dyDescent="0.35">
      <c r="A238" s="85">
        <v>43709</v>
      </c>
      <c r="B238">
        <v>51.8</v>
      </c>
    </row>
    <row r="239" spans="1:2" x14ac:dyDescent="0.35">
      <c r="A239" s="85">
        <v>43739</v>
      </c>
      <c r="B239">
        <v>50.76</v>
      </c>
    </row>
    <row r="240" spans="1:2" x14ac:dyDescent="0.35">
      <c r="A240" s="85">
        <v>43770</v>
      </c>
      <c r="B240">
        <v>50.84</v>
      </c>
    </row>
    <row r="241" spans="1:2" x14ac:dyDescent="0.35">
      <c r="A241" s="85">
        <v>43800</v>
      </c>
      <c r="B241">
        <v>50.65</v>
      </c>
    </row>
    <row r="242" spans="1:2" x14ac:dyDescent="0.35">
      <c r="A242" s="85">
        <v>43831</v>
      </c>
      <c r="B242">
        <v>51</v>
      </c>
    </row>
    <row r="243" spans="1:2" x14ac:dyDescent="0.35">
      <c r="A243" s="85">
        <v>43862</v>
      </c>
      <c r="B243">
        <v>50.96</v>
      </c>
    </row>
    <row r="244" spans="1:2" x14ac:dyDescent="0.35">
      <c r="A244" s="85">
        <v>43891</v>
      </c>
      <c r="B244">
        <v>50.87</v>
      </c>
    </row>
    <row r="245" spans="1:2" x14ac:dyDescent="0.35">
      <c r="A245" s="85">
        <v>43922</v>
      </c>
      <c r="B245">
        <v>50.44</v>
      </c>
    </row>
    <row r="246" spans="1:2" x14ac:dyDescent="0.35">
      <c r="A246" s="85">
        <v>43952</v>
      </c>
      <c r="B246">
        <v>50.46</v>
      </c>
    </row>
    <row r="247" spans="1:2" x14ac:dyDescent="0.35">
      <c r="A247" s="85">
        <v>43983</v>
      </c>
      <c r="B247">
        <v>49.74</v>
      </c>
    </row>
    <row r="248" spans="1:2" x14ac:dyDescent="0.35">
      <c r="A248" s="85">
        <v>44013</v>
      </c>
      <c r="B248">
        <v>49.14</v>
      </c>
    </row>
    <row r="249" spans="1:2" x14ac:dyDescent="0.35">
      <c r="A249" s="85">
        <v>44044</v>
      </c>
      <c r="B249">
        <v>48.48</v>
      </c>
    </row>
    <row r="250" spans="1:2" x14ac:dyDescent="0.35">
      <c r="A250" s="85">
        <v>44075</v>
      </c>
      <c r="B250">
        <v>48.47</v>
      </c>
    </row>
    <row r="251" spans="1:2" x14ac:dyDescent="0.35">
      <c r="A251" s="85">
        <v>44105</v>
      </c>
      <c r="B251">
        <v>48.53</v>
      </c>
    </row>
    <row r="252" spans="1:2" x14ac:dyDescent="0.35">
      <c r="A252" s="85">
        <v>44136</v>
      </c>
      <c r="B252">
        <v>48.12</v>
      </c>
    </row>
    <row r="253" spans="1:2" x14ac:dyDescent="0.35">
      <c r="A253" s="85">
        <v>44166</v>
      </c>
      <c r="B253">
        <v>48.01</v>
      </c>
    </row>
    <row r="254" spans="1:2" x14ac:dyDescent="0.35">
      <c r="A254" s="85">
        <v>44197</v>
      </c>
      <c r="B254">
        <v>48.06</v>
      </c>
    </row>
    <row r="255" spans="1:2" x14ac:dyDescent="0.35">
      <c r="A255" s="85">
        <v>44228</v>
      </c>
      <c r="B255">
        <v>48.73</v>
      </c>
    </row>
    <row r="256" spans="1:2" x14ac:dyDescent="0.35">
      <c r="A256" s="85">
        <v>44256</v>
      </c>
      <c r="B256">
        <v>48.57</v>
      </c>
    </row>
    <row r="257" spans="1:2" x14ac:dyDescent="0.35">
      <c r="A257" s="85">
        <v>44287</v>
      </c>
      <c r="B257">
        <v>48.23</v>
      </c>
    </row>
    <row r="258" spans="1:2" x14ac:dyDescent="0.35">
      <c r="A258" s="85">
        <v>44317</v>
      </c>
      <c r="B258">
        <v>47.637</v>
      </c>
    </row>
    <row r="259" spans="1:2" x14ac:dyDescent="0.35">
      <c r="A259" s="85">
        <v>44348</v>
      </c>
      <c r="B259">
        <v>48.84</v>
      </c>
    </row>
    <row r="260" spans="1:2" x14ac:dyDescent="0.35">
      <c r="A260" s="85">
        <v>44378</v>
      </c>
      <c r="B260">
        <v>49.97</v>
      </c>
    </row>
    <row r="261" spans="1:2" x14ac:dyDescent="0.35">
      <c r="A261" s="85">
        <v>44409</v>
      </c>
      <c r="B261">
        <v>49.63</v>
      </c>
    </row>
    <row r="262" spans="1:2" x14ac:dyDescent="0.35">
      <c r="A262" s="85">
        <v>44440</v>
      </c>
      <c r="B262">
        <v>51.02</v>
      </c>
    </row>
    <row r="263" spans="1:2" x14ac:dyDescent="0.35">
      <c r="A263" s="85">
        <v>44470</v>
      </c>
      <c r="B263">
        <v>50.521000000000001</v>
      </c>
    </row>
    <row r="264" spans="1:2" x14ac:dyDescent="0.35">
      <c r="A264" s="85">
        <v>44501</v>
      </c>
      <c r="B264">
        <v>50.41</v>
      </c>
    </row>
    <row r="265" spans="1:2" x14ac:dyDescent="0.35">
      <c r="A265" s="85">
        <v>44531</v>
      </c>
      <c r="B265">
        <v>50.99</v>
      </c>
    </row>
    <row r="266" spans="1:2" x14ac:dyDescent="0.35">
      <c r="A266" s="85">
        <v>44562</v>
      </c>
      <c r="B266">
        <v>51.07</v>
      </c>
    </row>
    <row r="267" spans="1:2" x14ac:dyDescent="0.35">
      <c r="A267" s="85">
        <v>44593</v>
      </c>
      <c r="B267">
        <v>51.17</v>
      </c>
    </row>
    <row r="268" spans="1:2" x14ac:dyDescent="0.35">
      <c r="A268" s="85">
        <v>44621</v>
      </c>
      <c r="B268">
        <v>51.71</v>
      </c>
    </row>
    <row r="269" spans="1:2" x14ac:dyDescent="0.35">
      <c r="A269" s="85">
        <v>44652</v>
      </c>
      <c r="B269">
        <v>52.31</v>
      </c>
    </row>
    <row r="270" spans="1:2" x14ac:dyDescent="0.35">
      <c r="A270" s="85">
        <v>44682</v>
      </c>
      <c r="B270">
        <v>52.44</v>
      </c>
    </row>
    <row r="271" spans="1:2" x14ac:dyDescent="0.35">
      <c r="A271" s="85">
        <v>44713</v>
      </c>
      <c r="B271">
        <v>55.01</v>
      </c>
    </row>
    <row r="272" spans="1:2" x14ac:dyDescent="0.35">
      <c r="A272" s="85">
        <v>44743</v>
      </c>
      <c r="B272">
        <v>55.34</v>
      </c>
    </row>
    <row r="273" spans="1:2" x14ac:dyDescent="0.35">
      <c r="A273" s="85">
        <v>44774</v>
      </c>
      <c r="B273">
        <v>56.24</v>
      </c>
    </row>
    <row r="274" spans="1:2" x14ac:dyDescent="0.35">
      <c r="A274" s="85">
        <v>44805</v>
      </c>
      <c r="B274">
        <v>58.75</v>
      </c>
    </row>
    <row r="275" spans="1:2" x14ac:dyDescent="0.35">
      <c r="A275" s="85">
        <v>44835</v>
      </c>
      <c r="B275">
        <v>58.08</v>
      </c>
    </row>
    <row r="276" spans="1:2" x14ac:dyDescent="0.35">
      <c r="A276" s="85">
        <v>44866</v>
      </c>
      <c r="B276">
        <v>56.47</v>
      </c>
    </row>
    <row r="277" spans="1:2" x14ac:dyDescent="0.35">
      <c r="A277" s="85">
        <v>44896</v>
      </c>
      <c r="B277">
        <v>55.67</v>
      </c>
    </row>
    <row r="278" spans="1:2" x14ac:dyDescent="0.35">
      <c r="A278" s="85">
        <v>44927</v>
      </c>
      <c r="B278">
        <v>54.71</v>
      </c>
    </row>
    <row r="279" spans="1:2" x14ac:dyDescent="0.35">
      <c r="A279" s="85">
        <v>44958</v>
      </c>
      <c r="B279">
        <v>55.32</v>
      </c>
    </row>
    <row r="280" spans="1:2" x14ac:dyDescent="0.35">
      <c r="A280" s="85">
        <v>44986</v>
      </c>
      <c r="B280">
        <v>54.265999999999998</v>
      </c>
    </row>
    <row r="281" spans="1:2" x14ac:dyDescent="0.35">
      <c r="A281" s="85">
        <v>45017</v>
      </c>
      <c r="B281">
        <v>55.47</v>
      </c>
    </row>
    <row r="282" spans="1:2" x14ac:dyDescent="0.35">
      <c r="A282" s="85">
        <v>45047</v>
      </c>
      <c r="B282">
        <v>56.353000000000002</v>
      </c>
    </row>
    <row r="283" spans="1:2" x14ac:dyDescent="0.35">
      <c r="A283" s="85">
        <v>45078</v>
      </c>
      <c r="B283">
        <v>55.264000000000003</v>
      </c>
    </row>
    <row r="284" spans="1:2" x14ac:dyDescent="0.35">
      <c r="A284" s="85">
        <v>45108</v>
      </c>
      <c r="B284">
        <v>54.91</v>
      </c>
    </row>
    <row r="285" spans="1:2" x14ac:dyDescent="0.35">
      <c r="A285" s="85">
        <v>45139</v>
      </c>
      <c r="B285">
        <v>56.62</v>
      </c>
    </row>
    <row r="286" spans="1:2" x14ac:dyDescent="0.35">
      <c r="A286" s="85">
        <v>45170</v>
      </c>
      <c r="B286">
        <v>56.69</v>
      </c>
    </row>
    <row r="287" spans="1:2" x14ac:dyDescent="0.35">
      <c r="A287" s="85">
        <v>45200</v>
      </c>
      <c r="B287">
        <v>56.865000000000002</v>
      </c>
    </row>
    <row r="288" spans="1:2" x14ac:dyDescent="0.35">
      <c r="A288" s="85">
        <v>45231</v>
      </c>
      <c r="B288">
        <v>55.46</v>
      </c>
    </row>
    <row r="289" spans="1:2" x14ac:dyDescent="0.35">
      <c r="A289" s="85">
        <v>45261</v>
      </c>
      <c r="B289">
        <v>55.387999999999998</v>
      </c>
    </row>
    <row r="290" spans="1:2" x14ac:dyDescent="0.35">
      <c r="A290" s="85">
        <v>45292</v>
      </c>
      <c r="B290">
        <v>56.29</v>
      </c>
    </row>
    <row r="291" spans="1:2" x14ac:dyDescent="0.35">
      <c r="A291" s="85">
        <v>45323</v>
      </c>
      <c r="B291">
        <v>56.2</v>
      </c>
    </row>
    <row r="292" spans="1:2" x14ac:dyDescent="0.35">
      <c r="A292" s="85">
        <v>45352</v>
      </c>
      <c r="B292">
        <v>56.16</v>
      </c>
    </row>
    <row r="293" spans="1:2" x14ac:dyDescent="0.35">
      <c r="A293" s="85">
        <v>45383</v>
      </c>
      <c r="B293">
        <v>57.71</v>
      </c>
    </row>
    <row r="294" spans="1:2" x14ac:dyDescent="0.35">
      <c r="A294" s="85">
        <v>45413</v>
      </c>
      <c r="B294">
        <v>58.575000000000003</v>
      </c>
    </row>
    <row r="295" spans="1:2" x14ac:dyDescent="0.35">
      <c r="A295" s="85">
        <v>45444</v>
      </c>
      <c r="B295">
        <v>58.49</v>
      </c>
    </row>
    <row r="296" spans="1:2" x14ac:dyDescent="0.35">
      <c r="A296" s="85">
        <v>45474</v>
      </c>
      <c r="B296">
        <v>58.445</v>
      </c>
    </row>
    <row r="297" spans="1:2" x14ac:dyDescent="0.35">
      <c r="A297" s="85">
        <v>45505</v>
      </c>
      <c r="B297">
        <v>56.24</v>
      </c>
    </row>
    <row r="298" spans="1:2" x14ac:dyDescent="0.35">
      <c r="A298" s="85">
        <v>45536</v>
      </c>
      <c r="B298">
        <v>56.234999999999999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31CE0-CFA4-49DA-9432-865DDDDAB10C}">
  <dimension ref="A1:Y184"/>
  <sheetViews>
    <sheetView zoomScale="115" zoomScaleNormal="115" workbookViewId="0">
      <selection activeCell="Q24" sqref="Q24:S47"/>
    </sheetView>
  </sheetViews>
  <sheetFormatPr defaultColWidth="9.1796875" defaultRowHeight="14" x14ac:dyDescent="0.3"/>
  <cols>
    <col min="1" max="1" width="8.1796875" style="66" bestFit="1" customWidth="1"/>
    <col min="2" max="2" width="18.1796875" style="66" customWidth="1"/>
    <col min="3" max="3" width="19.81640625" style="66" customWidth="1"/>
    <col min="4" max="4" width="25.453125" style="66" customWidth="1"/>
    <col min="5" max="5" width="22.453125" style="66" customWidth="1"/>
    <col min="6" max="6" width="19.7265625" style="66" customWidth="1"/>
    <col min="7" max="7" width="22.81640625" style="66" customWidth="1"/>
    <col min="8" max="8" width="19" style="67" customWidth="1"/>
    <col min="9" max="9" width="24.81640625" style="66" customWidth="1"/>
    <col min="10" max="10" width="21.1796875" style="66" bestFit="1" customWidth="1"/>
    <col min="11" max="11" width="16.7265625" style="66" customWidth="1"/>
    <col min="12" max="14" width="9.1796875" style="1"/>
    <col min="15" max="15" width="17" style="1" customWidth="1"/>
    <col min="16" max="16" width="26.81640625" style="1" customWidth="1"/>
    <col min="17" max="17" width="15.81640625" style="1" customWidth="1"/>
    <col min="18" max="18" width="12.7265625" style="1" bestFit="1" customWidth="1"/>
    <col min="19" max="19" width="13.81640625" style="1" customWidth="1"/>
    <col min="20" max="16384" width="9.1796875" style="1"/>
  </cols>
  <sheetData>
    <row r="1" spans="1:25" ht="62.25" customHeight="1" x14ac:dyDescent="0.35">
      <c r="A1" s="47" t="s">
        <v>424</v>
      </c>
      <c r="B1" s="48" t="s">
        <v>521</v>
      </c>
      <c r="C1" s="47" t="s">
        <v>522</v>
      </c>
      <c r="D1" s="47" t="s">
        <v>523</v>
      </c>
      <c r="E1" s="432" t="s">
        <v>428</v>
      </c>
      <c r="F1" s="432" t="s">
        <v>429</v>
      </c>
      <c r="G1" s="432" t="s">
        <v>430</v>
      </c>
      <c r="H1" s="432" t="s">
        <v>431</v>
      </c>
      <c r="I1" s="432" t="s">
        <v>432</v>
      </c>
      <c r="J1" s="432" t="s">
        <v>433</v>
      </c>
      <c r="K1" s="432" t="s">
        <v>434</v>
      </c>
      <c r="Q1" t="s">
        <v>354</v>
      </c>
      <c r="R1"/>
      <c r="S1"/>
      <c r="T1"/>
      <c r="U1"/>
      <c r="V1"/>
      <c r="W1"/>
      <c r="X1"/>
      <c r="Y1"/>
    </row>
    <row r="2" spans="1:25" ht="37.5" customHeight="1" thickBot="1" x14ac:dyDescent="0.4">
      <c r="A2" s="47" t="s">
        <v>435</v>
      </c>
      <c r="B2" s="48" t="s">
        <v>436</v>
      </c>
      <c r="C2" s="47" t="s">
        <v>437</v>
      </c>
      <c r="D2" s="47" t="s">
        <v>438</v>
      </c>
      <c r="E2" s="432"/>
      <c r="F2" s="432"/>
      <c r="G2" s="432"/>
      <c r="H2" s="432"/>
      <c r="I2" s="432"/>
      <c r="J2" s="432"/>
      <c r="K2" s="432"/>
      <c r="Q2"/>
      <c r="R2"/>
      <c r="S2"/>
      <c r="T2"/>
      <c r="U2"/>
      <c r="V2"/>
      <c r="W2"/>
      <c r="X2"/>
      <c r="Y2"/>
    </row>
    <row r="3" spans="1:25" ht="14.5" x14ac:dyDescent="0.35">
      <c r="A3" s="2" t="s">
        <v>439</v>
      </c>
      <c r="B3" s="11">
        <v>21392.799999999999</v>
      </c>
      <c r="C3" s="52">
        <v>3.8203242424242441</v>
      </c>
      <c r="D3" s="53">
        <v>6.5</v>
      </c>
      <c r="E3" s="54"/>
      <c r="F3" s="54"/>
      <c r="G3" s="54"/>
      <c r="H3" s="2"/>
      <c r="I3" s="54"/>
      <c r="J3" s="54"/>
      <c r="K3" s="54"/>
      <c r="Q3" s="90" t="s">
        <v>355</v>
      </c>
      <c r="R3" s="90"/>
      <c r="S3"/>
      <c r="T3"/>
      <c r="U3"/>
      <c r="V3"/>
      <c r="W3"/>
      <c r="X3"/>
      <c r="Y3"/>
    </row>
    <row r="4" spans="1:25" ht="14.5" x14ac:dyDescent="0.35">
      <c r="A4" s="2" t="s">
        <v>440</v>
      </c>
      <c r="B4" s="11">
        <v>21843.8</v>
      </c>
      <c r="C4" s="52">
        <v>4.0647962330067644</v>
      </c>
      <c r="D4" s="53">
        <v>6.7</v>
      </c>
      <c r="E4" s="54">
        <f>((1+D3%)/(1+C3%))-1</f>
        <v>2.5810704957139219E-2</v>
      </c>
      <c r="F4" s="54">
        <f>(B4-B3)/B3</f>
        <v>2.1081859317153437E-2</v>
      </c>
      <c r="G4" s="54">
        <v>3.7901033007148354E-3</v>
      </c>
      <c r="H4" s="42">
        <f>B3*(1+G4)</f>
        <v>21473.88092189153</v>
      </c>
      <c r="I4" s="57">
        <f>ABS((H4-B4)/B4)</f>
        <v>1.6934740205846465E-2</v>
      </c>
      <c r="J4" s="57">
        <f t="shared" ref="J4:J67" si="0">I4^2</f>
        <v>2.8678542583951275E-4</v>
      </c>
      <c r="K4" s="57">
        <f>(H4-B4)/B4</f>
        <v>-1.6934740205846465E-2</v>
      </c>
      <c r="Q4" t="s">
        <v>356</v>
      </c>
      <c r="R4">
        <v>0.24235099746586256</v>
      </c>
      <c r="S4"/>
      <c r="T4"/>
      <c r="U4"/>
      <c r="V4"/>
      <c r="W4"/>
      <c r="X4"/>
      <c r="Y4"/>
    </row>
    <row r="5" spans="1:25" ht="14.5" x14ac:dyDescent="0.35">
      <c r="A5" s="2" t="s">
        <v>441</v>
      </c>
      <c r="B5" s="11">
        <v>22949.4</v>
      </c>
      <c r="C5" s="52">
        <v>4.5004968379446639</v>
      </c>
      <c r="D5" s="53">
        <v>6.85</v>
      </c>
      <c r="E5" s="54">
        <f t="shared" ref="E5:E68" si="1">((1+D4%)/(1+C4%))-1</f>
        <v>2.5322720673885302E-2</v>
      </c>
      <c r="F5" s="54">
        <f t="shared" ref="F5:F68" si="2">(B5-B4)/B4</f>
        <v>5.0613904174182246E-2</v>
      </c>
      <c r="G5" s="54">
        <v>3.3588697416723347E-3</v>
      </c>
      <c r="H5" s="42">
        <f t="shared" ref="H5:H68" si="3">B4*(1+G5)</f>
        <v>21917.170478863143</v>
      </c>
      <c r="I5" s="57">
        <f t="shared" ref="I5:I68" si="4">ABS((H5-B5)/B5)</f>
        <v>4.497849709085458E-2</v>
      </c>
      <c r="J5" s="57">
        <f t="shared" si="0"/>
        <v>2.0230652005520139E-3</v>
      </c>
      <c r="K5" s="57">
        <f t="shared" ref="K5:K68" si="5">(H5-B5)/B5</f>
        <v>-4.497849709085458E-2</v>
      </c>
      <c r="Q5" t="s">
        <v>357</v>
      </c>
      <c r="R5">
        <v>5.8734005972698518E-2</v>
      </c>
      <c r="S5"/>
      <c r="T5"/>
      <c r="U5"/>
      <c r="V5"/>
      <c r="W5"/>
      <c r="X5"/>
      <c r="Y5"/>
    </row>
    <row r="6" spans="1:25" ht="14.5" x14ac:dyDescent="0.35">
      <c r="A6" s="2" t="s">
        <v>442</v>
      </c>
      <c r="B6" s="11">
        <v>23380</v>
      </c>
      <c r="C6" s="52">
        <v>4.724768393315304</v>
      </c>
      <c r="D6" s="53">
        <v>6.95</v>
      </c>
      <c r="E6" s="54">
        <f t="shared" si="1"/>
        <v>2.248317695272628E-2</v>
      </c>
      <c r="F6" s="54">
        <f t="shared" si="2"/>
        <v>1.8763017769527678E-2</v>
      </c>
      <c r="G6" s="54">
        <v>3.1201834077635242E-3</v>
      </c>
      <c r="H6" s="42">
        <f t="shared" si="3"/>
        <v>23021.006337098126</v>
      </c>
      <c r="I6" s="57">
        <f t="shared" si="4"/>
        <v>1.5354733229335924E-2</v>
      </c>
      <c r="J6" s="57">
        <f t="shared" si="0"/>
        <v>2.3576783254407281E-4</v>
      </c>
      <c r="K6" s="57">
        <f t="shared" si="5"/>
        <v>-1.5354733229335924E-2</v>
      </c>
      <c r="Q6" t="s">
        <v>358</v>
      </c>
      <c r="R6">
        <v>1.391181578092226E-2</v>
      </c>
      <c r="S6"/>
      <c r="T6"/>
      <c r="U6"/>
      <c r="V6"/>
      <c r="W6"/>
      <c r="X6"/>
      <c r="Y6"/>
    </row>
    <row r="7" spans="1:25" ht="14.5" x14ac:dyDescent="0.35">
      <c r="A7" s="2" t="s">
        <v>443</v>
      </c>
      <c r="B7" s="11">
        <v>25412.7</v>
      </c>
      <c r="C7" s="52">
        <v>4.4800030378977738</v>
      </c>
      <c r="D7" s="53">
        <v>7.5</v>
      </c>
      <c r="E7" s="54">
        <f t="shared" si="1"/>
        <v>2.1248379354990687E-2</v>
      </c>
      <c r="F7" s="54">
        <f t="shared" si="2"/>
        <v>8.694183062446538E-2</v>
      </c>
      <c r="G7" s="54">
        <v>2.0823114884801069E-3</v>
      </c>
      <c r="H7" s="42">
        <f t="shared" si="3"/>
        <v>23428.684442600665</v>
      </c>
      <c r="I7" s="57">
        <f t="shared" si="4"/>
        <v>7.8071812810104238E-2</v>
      </c>
      <c r="J7" s="57">
        <f t="shared" si="0"/>
        <v>6.0952079554559566E-3</v>
      </c>
      <c r="K7" s="57">
        <f t="shared" si="5"/>
        <v>-7.8071812810104238E-2</v>
      </c>
      <c r="Q7" t="s">
        <v>359</v>
      </c>
      <c r="R7">
        <v>5.3552442130249789E-2</v>
      </c>
      <c r="S7"/>
      <c r="T7"/>
      <c r="U7"/>
      <c r="V7"/>
      <c r="W7"/>
      <c r="X7"/>
      <c r="Y7"/>
    </row>
    <row r="8" spans="1:25" ht="15" thickBot="1" x14ac:dyDescent="0.4">
      <c r="A8" s="2" t="s">
        <v>444</v>
      </c>
      <c r="B8" s="11">
        <v>26534.6</v>
      </c>
      <c r="C8" s="52">
        <v>4.8604682539682535</v>
      </c>
      <c r="D8" s="53">
        <v>15</v>
      </c>
      <c r="E8" s="54">
        <f t="shared" si="1"/>
        <v>2.8905023681965014E-2</v>
      </c>
      <c r="F8" s="54">
        <f t="shared" si="2"/>
        <v>4.4147217729717733E-2</v>
      </c>
      <c r="G8" s="54">
        <v>-1.0852330239627048E-4</v>
      </c>
      <c r="H8" s="42">
        <f t="shared" si="3"/>
        <v>25409.942129873194</v>
      </c>
      <c r="I8" s="57">
        <f t="shared" si="4"/>
        <v>4.2384579761021633E-2</v>
      </c>
      <c r="J8" s="57">
        <f t="shared" si="0"/>
        <v>1.7964526015184046E-3</v>
      </c>
      <c r="K8" s="57">
        <f t="shared" si="5"/>
        <v>-4.2384579761021633E-2</v>
      </c>
      <c r="Q8" s="88" t="s">
        <v>360</v>
      </c>
      <c r="R8" s="88">
        <v>23</v>
      </c>
      <c r="S8"/>
      <c r="T8"/>
      <c r="U8"/>
      <c r="V8"/>
      <c r="W8"/>
      <c r="X8"/>
      <c r="Y8"/>
    </row>
    <row r="9" spans="1:25" ht="14.5" x14ac:dyDescent="0.35">
      <c r="A9" s="2" t="s">
        <v>445</v>
      </c>
      <c r="B9" s="11">
        <v>23429.200000000001</v>
      </c>
      <c r="C9" s="52">
        <v>4.9817907647907669</v>
      </c>
      <c r="D9" s="53">
        <v>15</v>
      </c>
      <c r="E9" s="54">
        <f t="shared" si="1"/>
        <v>9.6695465077212495E-2</v>
      </c>
      <c r="F9" s="54">
        <f t="shared" si="2"/>
        <v>-0.11703210148259247</v>
      </c>
      <c r="G9" s="54">
        <v>-2.5479540962644815E-3</v>
      </c>
      <c r="H9" s="42">
        <f t="shared" si="3"/>
        <v>26466.991057237257</v>
      </c>
      <c r="I9" s="57">
        <f t="shared" si="4"/>
        <v>0.12965833478041319</v>
      </c>
      <c r="J9" s="57">
        <f t="shared" si="0"/>
        <v>1.6811283778029706E-2</v>
      </c>
      <c r="K9" s="57">
        <f t="shared" si="5"/>
        <v>0.12965833478041319</v>
      </c>
      <c r="Q9"/>
      <c r="R9"/>
      <c r="S9"/>
      <c r="T9"/>
      <c r="U9"/>
      <c r="V9"/>
      <c r="W9"/>
      <c r="X9"/>
      <c r="Y9"/>
    </row>
    <row r="10" spans="1:25" ht="15" thickBot="1" x14ac:dyDescent="0.4">
      <c r="A10" s="2" t="s">
        <v>446</v>
      </c>
      <c r="B10" s="11">
        <v>24441.200000000001</v>
      </c>
      <c r="C10" s="52">
        <v>4.2146686680469303</v>
      </c>
      <c r="D10" s="53">
        <v>9.5</v>
      </c>
      <c r="E10" s="54">
        <f t="shared" si="1"/>
        <v>9.5428065783853766E-2</v>
      </c>
      <c r="F10" s="54">
        <f t="shared" si="2"/>
        <v>4.3193963088795174E-2</v>
      </c>
      <c r="G10" s="54">
        <v>-3.1311898087635669E-3</v>
      </c>
      <c r="H10" s="42">
        <f t="shared" si="3"/>
        <v>23355.838727732516</v>
      </c>
      <c r="I10" s="57">
        <f t="shared" si="4"/>
        <v>4.4407036981305513E-2</v>
      </c>
      <c r="J10" s="57">
        <f t="shared" si="0"/>
        <v>1.9719849334590353E-3</v>
      </c>
      <c r="K10" s="57">
        <f t="shared" si="5"/>
        <v>-4.4407036981305513E-2</v>
      </c>
      <c r="Q10" t="s">
        <v>361</v>
      </c>
      <c r="R10"/>
      <c r="S10"/>
      <c r="T10"/>
      <c r="U10"/>
      <c r="V10"/>
      <c r="W10"/>
      <c r="X10"/>
      <c r="Y10"/>
    </row>
    <row r="11" spans="1:25" ht="14.5" x14ac:dyDescent="0.35">
      <c r="A11" s="2" t="s">
        <v>447</v>
      </c>
      <c r="B11" s="11">
        <v>23564.7</v>
      </c>
      <c r="C11" s="52">
        <v>2.01167611832612</v>
      </c>
      <c r="D11" s="53">
        <v>8</v>
      </c>
      <c r="E11" s="54">
        <f t="shared" si="1"/>
        <v>5.0715809967101011E-2</v>
      </c>
      <c r="F11" s="54">
        <f t="shared" si="2"/>
        <v>-3.5861577991260656E-2</v>
      </c>
      <c r="G11" s="54">
        <v>-2.695707439841555E-3</v>
      </c>
      <c r="H11" s="42">
        <f t="shared" si="3"/>
        <v>24375.313675321344</v>
      </c>
      <c r="I11" s="57">
        <f t="shared" si="4"/>
        <v>3.4399490565181955E-2</v>
      </c>
      <c r="J11" s="57">
        <f t="shared" si="0"/>
        <v>1.1833249511440424E-3</v>
      </c>
      <c r="K11" s="57">
        <f t="shared" si="5"/>
        <v>3.4399490565181955E-2</v>
      </c>
      <c r="Q11" s="89"/>
      <c r="R11" s="89" t="s">
        <v>362</v>
      </c>
      <c r="S11" s="89" t="s">
        <v>288</v>
      </c>
      <c r="T11" s="89" t="s">
        <v>363</v>
      </c>
      <c r="U11" s="89" t="s">
        <v>364</v>
      </c>
      <c r="V11" s="89" t="s">
        <v>365</v>
      </c>
      <c r="W11"/>
      <c r="X11"/>
      <c r="Y11"/>
    </row>
    <row r="12" spans="1:25" ht="14.5" x14ac:dyDescent="0.35">
      <c r="A12" s="2" t="s">
        <v>448</v>
      </c>
      <c r="B12" s="11">
        <v>24946.2</v>
      </c>
      <c r="C12" s="52">
        <v>1.3106363636363632</v>
      </c>
      <c r="D12" s="53">
        <v>7</v>
      </c>
      <c r="E12" s="54">
        <f t="shared" si="1"/>
        <v>5.8702337904220636E-2</v>
      </c>
      <c r="F12" s="54">
        <f t="shared" si="2"/>
        <v>5.8625825917580109E-2</v>
      </c>
      <c r="G12" s="54">
        <v>1.6606746391149754E-3</v>
      </c>
      <c r="H12" s="42">
        <f t="shared" si="3"/>
        <v>23603.833299668353</v>
      </c>
      <c r="I12" s="57">
        <f t="shared" si="4"/>
        <v>5.3810468140704705E-2</v>
      </c>
      <c r="J12" s="57">
        <f t="shared" si="0"/>
        <v>2.895566481521796E-3</v>
      </c>
      <c r="K12" s="57">
        <f t="shared" si="5"/>
        <v>-5.3810468140704705E-2</v>
      </c>
      <c r="Q12" t="s">
        <v>366</v>
      </c>
      <c r="R12">
        <v>1</v>
      </c>
      <c r="S12">
        <v>3.7579855869926959E-3</v>
      </c>
      <c r="T12">
        <v>3.7579855869926959E-3</v>
      </c>
      <c r="U12">
        <v>1.3103778668868957</v>
      </c>
      <c r="V12">
        <v>0.26520603578123048</v>
      </c>
      <c r="W12"/>
      <c r="X12"/>
      <c r="Y12"/>
    </row>
    <row r="13" spans="1:25" ht="14.5" x14ac:dyDescent="0.35">
      <c r="A13" s="2" t="s">
        <v>449</v>
      </c>
      <c r="B13" s="11">
        <v>26113.1</v>
      </c>
      <c r="C13" s="52">
        <v>0.86917454043541031</v>
      </c>
      <c r="D13" s="53">
        <v>7</v>
      </c>
      <c r="E13" s="54">
        <f t="shared" si="1"/>
        <v>5.6157614250321286E-2</v>
      </c>
      <c r="F13" s="54">
        <f t="shared" si="2"/>
        <v>4.6776663379592798E-2</v>
      </c>
      <c r="G13" s="54">
        <v>4.310294348769908E-3</v>
      </c>
      <c r="H13" s="42">
        <f t="shared" si="3"/>
        <v>25053.725464883282</v>
      </c>
      <c r="I13" s="57">
        <f t="shared" si="4"/>
        <v>4.0568700580042825E-2</v>
      </c>
      <c r="J13" s="57">
        <f t="shared" si="0"/>
        <v>1.6458194667531671E-3</v>
      </c>
      <c r="K13" s="57">
        <f t="shared" si="5"/>
        <v>-4.0568700580042825E-2</v>
      </c>
      <c r="Q13" t="s">
        <v>367</v>
      </c>
      <c r="R13">
        <v>21</v>
      </c>
      <c r="S13">
        <v>6.0225145220388812E-2</v>
      </c>
      <c r="T13">
        <v>2.8678640581137529E-3</v>
      </c>
      <c r="U13"/>
      <c r="V13"/>
      <c r="W13"/>
      <c r="X13"/>
      <c r="Y13"/>
    </row>
    <row r="14" spans="1:25" ht="15" thickBot="1" x14ac:dyDescent="0.4">
      <c r="A14" s="2" t="s">
        <v>450</v>
      </c>
      <c r="B14" s="11">
        <v>26452.9</v>
      </c>
      <c r="C14" s="52">
        <v>0.72191197691197662</v>
      </c>
      <c r="D14" s="53">
        <v>8</v>
      </c>
      <c r="E14" s="54">
        <f t="shared" si="1"/>
        <v>6.0779970565803865E-2</v>
      </c>
      <c r="F14" s="54">
        <f t="shared" si="2"/>
        <v>1.3012625846797314E-2</v>
      </c>
      <c r="G14" s="54">
        <v>4.589119236825449E-3</v>
      </c>
      <c r="H14" s="42">
        <f t="shared" si="3"/>
        <v>26232.936129543144</v>
      </c>
      <c r="I14" s="57">
        <f t="shared" si="4"/>
        <v>8.3153026872991986E-3</v>
      </c>
      <c r="J14" s="57">
        <f t="shared" si="0"/>
        <v>6.9144258781405268E-5</v>
      </c>
      <c r="K14" s="57">
        <f t="shared" si="5"/>
        <v>-8.3153026872991986E-3</v>
      </c>
      <c r="Q14" s="88" t="s">
        <v>99</v>
      </c>
      <c r="R14" s="88">
        <v>22</v>
      </c>
      <c r="S14" s="88">
        <v>6.3983130807381508E-2</v>
      </c>
      <c r="T14" s="88"/>
      <c r="U14" s="88"/>
      <c r="V14" s="88"/>
      <c r="W14"/>
      <c r="X14"/>
      <c r="Y14"/>
    </row>
    <row r="15" spans="1:25" ht="15" thickBot="1" x14ac:dyDescent="0.4">
      <c r="A15" s="2" t="s">
        <v>451</v>
      </c>
      <c r="B15" s="11">
        <v>25793.5</v>
      </c>
      <c r="C15" s="52">
        <v>0.66213550724637671</v>
      </c>
      <c r="D15" s="53">
        <v>8</v>
      </c>
      <c r="E15" s="54">
        <f t="shared" si="1"/>
        <v>7.2259232179352928E-2</v>
      </c>
      <c r="F15" s="54">
        <f t="shared" si="2"/>
        <v>-2.4927323658275706E-2</v>
      </c>
      <c r="G15" s="54">
        <v>3.499935831341863E-3</v>
      </c>
      <c r="H15" s="42">
        <f t="shared" si="3"/>
        <v>26545.483452552904</v>
      </c>
      <c r="I15" s="57">
        <f t="shared" si="4"/>
        <v>2.9153990445379807E-2</v>
      </c>
      <c r="J15" s="57">
        <f t="shared" si="0"/>
        <v>8.4995515888929712E-4</v>
      </c>
      <c r="K15" s="57">
        <f t="shared" si="5"/>
        <v>2.9153990445379807E-2</v>
      </c>
      <c r="Q15"/>
      <c r="R15"/>
      <c r="S15"/>
      <c r="T15"/>
      <c r="U15"/>
      <c r="V15"/>
      <c r="W15"/>
      <c r="X15"/>
      <c r="Y15"/>
    </row>
    <row r="16" spans="1:25" ht="14.5" x14ac:dyDescent="0.35">
      <c r="A16" s="2" t="s">
        <v>452</v>
      </c>
      <c r="B16" s="11">
        <v>23347.200000000001</v>
      </c>
      <c r="C16" s="52">
        <v>0.68627157287157292</v>
      </c>
      <c r="D16" s="53">
        <v>8</v>
      </c>
      <c r="E16" s="54">
        <f t="shared" si="1"/>
        <v>7.28959747950646E-2</v>
      </c>
      <c r="F16" s="54">
        <f t="shared" si="2"/>
        <v>-9.4841723690076929E-2</v>
      </c>
      <c r="G16" s="54">
        <v>2.6896216171458293E-3</v>
      </c>
      <c r="H16" s="42">
        <f t="shared" si="3"/>
        <v>25862.874755181852</v>
      </c>
      <c r="I16" s="57">
        <f t="shared" si="4"/>
        <v>0.10775059772400337</v>
      </c>
      <c r="J16" s="57">
        <f t="shared" si="0"/>
        <v>1.1610191309880001E-2</v>
      </c>
      <c r="K16" s="57">
        <f t="shared" si="5"/>
        <v>0.10775059772400337</v>
      </c>
      <c r="Q16" s="89"/>
      <c r="R16" s="89" t="s">
        <v>368</v>
      </c>
      <c r="S16" s="89" t="s">
        <v>359</v>
      </c>
      <c r="T16" s="89" t="s">
        <v>369</v>
      </c>
      <c r="U16" s="89" t="s">
        <v>370</v>
      </c>
      <c r="V16" s="89" t="s">
        <v>371</v>
      </c>
      <c r="W16" s="89" t="s">
        <v>372</v>
      </c>
      <c r="X16" s="89" t="s">
        <v>373</v>
      </c>
      <c r="Y16" s="89" t="s">
        <v>374</v>
      </c>
    </row>
    <row r="17" spans="1:25" ht="14.5" x14ac:dyDescent="0.35">
      <c r="A17" s="2" t="s">
        <v>453</v>
      </c>
      <c r="B17" s="11">
        <v>26550.3</v>
      </c>
      <c r="C17" s="52">
        <v>0.87493939393939402</v>
      </c>
      <c r="D17" s="53">
        <v>8</v>
      </c>
      <c r="E17" s="54">
        <f t="shared" si="1"/>
        <v>7.2638784939366152E-2</v>
      </c>
      <c r="F17" s="54">
        <f t="shared" si="2"/>
        <v>0.13719418174342099</v>
      </c>
      <c r="G17" s="54">
        <v>2.9336778663568478E-3</v>
      </c>
      <c r="H17" s="42">
        <f t="shared" si="3"/>
        <v>23415.693163881409</v>
      </c>
      <c r="I17" s="57">
        <f t="shared" si="4"/>
        <v>0.11806295356807983</v>
      </c>
      <c r="J17" s="57">
        <f t="shared" si="0"/>
        <v>1.3938861005218574E-2</v>
      </c>
      <c r="K17" s="57">
        <f t="shared" si="5"/>
        <v>-0.11806295356807983</v>
      </c>
      <c r="Q17" t="s">
        <v>375</v>
      </c>
      <c r="R17">
        <v>5.5040049927928811E-2</v>
      </c>
      <c r="S17">
        <v>4.0131844891356572E-2</v>
      </c>
      <c r="T17">
        <v>1.3714806801663659</v>
      </c>
      <c r="U17">
        <v>0.18470274566604547</v>
      </c>
      <c r="V17">
        <v>-2.8418690322600137E-2</v>
      </c>
      <c r="W17">
        <v>0.13849879017845776</v>
      </c>
      <c r="X17">
        <v>-2.8418690322600137E-2</v>
      </c>
      <c r="Y17">
        <v>0.13849879017845776</v>
      </c>
    </row>
    <row r="18" spans="1:25" ht="15" thickBot="1" x14ac:dyDescent="0.4">
      <c r="A18" s="2" t="s">
        <v>454</v>
      </c>
      <c r="B18" s="11">
        <v>26076.5</v>
      </c>
      <c r="C18" s="52">
        <v>1.0204692577953425</v>
      </c>
      <c r="D18" s="53">
        <v>9</v>
      </c>
      <c r="E18" s="54">
        <f t="shared" si="1"/>
        <v>7.063261350012473E-2</v>
      </c>
      <c r="F18" s="54">
        <f t="shared" si="2"/>
        <v>-1.7845372745317351E-2</v>
      </c>
      <c r="G18" s="54">
        <v>3.0064810035418388E-3</v>
      </c>
      <c r="H18" s="42">
        <f t="shared" si="3"/>
        <v>26630.122972588339</v>
      </c>
      <c r="I18" s="57">
        <f t="shared" si="4"/>
        <v>2.1230723931062012E-2</v>
      </c>
      <c r="J18" s="57">
        <f t="shared" si="0"/>
        <v>4.5074363863696924E-4</v>
      </c>
      <c r="K18" s="57">
        <f t="shared" si="5"/>
        <v>2.1230723931062012E-2</v>
      </c>
      <c r="Q18" s="88" t="s">
        <v>376</v>
      </c>
      <c r="R18" s="88">
        <v>-0.52484980528949565</v>
      </c>
      <c r="S18" s="88">
        <v>0.45849728247372606</v>
      </c>
      <c r="T18" s="88">
        <v>-1.1447173742399921</v>
      </c>
      <c r="U18" s="88">
        <v>0.26520603578122892</v>
      </c>
      <c r="V18" s="88">
        <v>-1.4783471016918743</v>
      </c>
      <c r="W18" s="88">
        <v>0.42864749111288292</v>
      </c>
      <c r="X18" s="88">
        <v>-1.4783471016918743</v>
      </c>
      <c r="Y18" s="88">
        <v>0.42864749111288292</v>
      </c>
    </row>
    <row r="19" spans="1:25" ht="14.5" x14ac:dyDescent="0.35">
      <c r="A19" s="2" t="s">
        <v>455</v>
      </c>
      <c r="B19" s="11">
        <v>29574.400000000001</v>
      </c>
      <c r="C19" s="52">
        <v>1.09316994478951</v>
      </c>
      <c r="D19" s="53">
        <v>12</v>
      </c>
      <c r="E19" s="54">
        <f t="shared" si="1"/>
        <v>7.8989246445110073E-2</v>
      </c>
      <c r="F19" s="54">
        <f t="shared" si="2"/>
        <v>0.13413993442371488</v>
      </c>
      <c r="G19" s="54">
        <v>2.0880800665646257E-3</v>
      </c>
      <c r="H19" s="42">
        <f t="shared" si="3"/>
        <v>26130.94981985577</v>
      </c>
      <c r="I19" s="57">
        <f t="shared" si="4"/>
        <v>0.11643347557834584</v>
      </c>
      <c r="J19" s="57">
        <f t="shared" si="0"/>
        <v>1.3556754235253257E-2</v>
      </c>
      <c r="K19" s="57">
        <f t="shared" si="5"/>
        <v>-0.11643347557834584</v>
      </c>
      <c r="Q19"/>
      <c r="R19"/>
      <c r="S19"/>
      <c r="T19"/>
      <c r="U19"/>
      <c r="V19"/>
      <c r="W19"/>
      <c r="X19"/>
      <c r="Y19"/>
    </row>
    <row r="20" spans="1:25" ht="14.5" x14ac:dyDescent="0.35">
      <c r="A20" s="2" t="s">
        <v>456</v>
      </c>
      <c r="B20" s="11">
        <v>29747.7</v>
      </c>
      <c r="C20" s="52">
        <v>1.4116307814992031</v>
      </c>
      <c r="D20" s="53">
        <v>14</v>
      </c>
      <c r="E20" s="54">
        <f t="shared" si="1"/>
        <v>0.10788889161520099</v>
      </c>
      <c r="F20" s="54">
        <f t="shared" si="2"/>
        <v>5.8597976628435152E-3</v>
      </c>
      <c r="G20" s="54">
        <v>1.5077887707106961E-3</v>
      </c>
      <c r="H20" s="42">
        <f t="shared" si="3"/>
        <v>29618.991948220508</v>
      </c>
      <c r="I20" s="57">
        <f t="shared" si="4"/>
        <v>4.3266555659594846E-3</v>
      </c>
      <c r="J20" s="57">
        <f t="shared" si="0"/>
        <v>1.8719948386448189E-5</v>
      </c>
      <c r="K20" s="57">
        <f t="shared" si="5"/>
        <v>-4.3266555659594846E-3</v>
      </c>
      <c r="Q20"/>
      <c r="R20"/>
      <c r="S20"/>
      <c r="T20"/>
      <c r="U20"/>
      <c r="V20"/>
      <c r="W20"/>
      <c r="X20"/>
      <c r="Y20"/>
    </row>
    <row r="21" spans="1:25" ht="14.5" x14ac:dyDescent="0.35">
      <c r="A21" s="2" t="s">
        <v>457</v>
      </c>
      <c r="B21" s="11">
        <v>27872.2</v>
      </c>
      <c r="C21" s="52">
        <v>1.5620535165317802</v>
      </c>
      <c r="D21" s="53">
        <v>14</v>
      </c>
      <c r="E21" s="54">
        <f t="shared" si="1"/>
        <v>0.12413141492245239</v>
      </c>
      <c r="F21" s="54">
        <f t="shared" si="2"/>
        <v>-6.3046891020146087E-2</v>
      </c>
      <c r="G21" s="54">
        <v>-1.0162019997311672E-3</v>
      </c>
      <c r="H21" s="42">
        <f t="shared" si="3"/>
        <v>29717.470327772597</v>
      </c>
      <c r="I21" s="57">
        <f t="shared" si="4"/>
        <v>6.620468882157117E-2</v>
      </c>
      <c r="J21" s="57">
        <f t="shared" si="0"/>
        <v>4.3830608219610706E-3</v>
      </c>
      <c r="K21" s="57">
        <f t="shared" si="5"/>
        <v>6.620468882157117E-2</v>
      </c>
      <c r="Q21"/>
      <c r="R21"/>
      <c r="S21"/>
      <c r="T21"/>
      <c r="U21"/>
      <c r="V21"/>
      <c r="W21"/>
      <c r="X21"/>
      <c r="Y21"/>
    </row>
    <row r="22" spans="1:25" ht="14.5" x14ac:dyDescent="0.35">
      <c r="A22" s="2" t="s">
        <v>458</v>
      </c>
      <c r="B22" s="11">
        <v>27216.2</v>
      </c>
      <c r="C22" s="52">
        <v>1.4955447330447331</v>
      </c>
      <c r="D22" s="53">
        <v>15</v>
      </c>
      <c r="E22" s="54">
        <f t="shared" si="1"/>
        <v>0.12246647298681923</v>
      </c>
      <c r="F22" s="54">
        <f t="shared" si="2"/>
        <v>-2.3535996440898099E-2</v>
      </c>
      <c r="G22" s="54">
        <v>-1.4690769264372999E-3</v>
      </c>
      <c r="H22" s="42">
        <f t="shared" si="3"/>
        <v>27831.253594090955</v>
      </c>
      <c r="I22" s="57">
        <f t="shared" si="4"/>
        <v>2.2598804906304112E-2</v>
      </c>
      <c r="J22" s="57">
        <f t="shared" si="0"/>
        <v>5.107059831931948E-4</v>
      </c>
      <c r="K22" s="57">
        <f t="shared" si="5"/>
        <v>2.2598804906304112E-2</v>
      </c>
      <c r="Q22" t="s">
        <v>377</v>
      </c>
      <c r="R22"/>
      <c r="S22"/>
      <c r="T22"/>
      <c r="U22"/>
      <c r="V22"/>
      <c r="W22"/>
      <c r="X22"/>
      <c r="Y22"/>
    </row>
    <row r="23" spans="1:25" ht="14.5" x14ac:dyDescent="0.35">
      <c r="A23" s="2" t="s">
        <v>459</v>
      </c>
      <c r="B23" s="11">
        <v>27780.1</v>
      </c>
      <c r="C23" s="52">
        <v>1.0429891774891753</v>
      </c>
      <c r="D23" s="53">
        <v>14</v>
      </c>
      <c r="E23" s="54">
        <f t="shared" si="1"/>
        <v>0.13305466069939209</v>
      </c>
      <c r="F23" s="54">
        <f t="shared" si="2"/>
        <v>2.0719277489142415E-2</v>
      </c>
      <c r="G23" s="54">
        <v>5.3814258294147474E-6</v>
      </c>
      <c r="H23" s="42">
        <f t="shared" si="3"/>
        <v>27216.346461961657</v>
      </c>
      <c r="I23" s="57">
        <f t="shared" si="4"/>
        <v>2.0293430838562193E-2</v>
      </c>
      <c r="J23" s="57">
        <f t="shared" si="0"/>
        <v>4.1182333519950706E-4</v>
      </c>
      <c r="K23" s="57">
        <f t="shared" si="5"/>
        <v>-2.0293430838562193E-2</v>
      </c>
      <c r="Q23"/>
      <c r="R23"/>
      <c r="S23"/>
      <c r="T23"/>
      <c r="U23"/>
      <c r="V23"/>
      <c r="W23"/>
      <c r="X23"/>
      <c r="Y23"/>
    </row>
    <row r="24" spans="1:25" ht="14.5" x14ac:dyDescent="0.35">
      <c r="A24" s="2" t="s">
        <v>460</v>
      </c>
      <c r="B24" s="11">
        <v>26429.9</v>
      </c>
      <c r="C24" s="52">
        <v>0.69602734107997277</v>
      </c>
      <c r="D24" s="53">
        <v>11</v>
      </c>
      <c r="E24" s="54">
        <f t="shared" si="1"/>
        <v>0.12823265550617213</v>
      </c>
      <c r="F24" s="54">
        <f t="shared" si="2"/>
        <v>-4.8603136777765274E-2</v>
      </c>
      <c r="G24" s="54">
        <v>1.4677254251481212E-3</v>
      </c>
      <c r="H24" s="42">
        <f t="shared" si="3"/>
        <v>27820.873559083153</v>
      </c>
      <c r="I24" s="57">
        <f t="shared" si="4"/>
        <v>5.2628786301997035E-2</v>
      </c>
      <c r="J24" s="57">
        <f t="shared" si="0"/>
        <v>2.7697891476212706E-3</v>
      </c>
      <c r="K24" s="57">
        <f t="shared" si="5"/>
        <v>5.2628786301997035E-2</v>
      </c>
      <c r="Q24" t="s">
        <v>378</v>
      </c>
      <c r="R24" t="s">
        <v>353</v>
      </c>
      <c r="S24" t="s">
        <v>379</v>
      </c>
      <c r="T24"/>
      <c r="U24"/>
      <c r="V24"/>
      <c r="W24"/>
      <c r="X24"/>
      <c r="Y24"/>
    </row>
    <row r="25" spans="1:25" ht="14.5" x14ac:dyDescent="0.35">
      <c r="A25" s="2" t="s">
        <v>461</v>
      </c>
      <c r="B25" s="11">
        <v>26832.7</v>
      </c>
      <c r="C25" s="52">
        <v>0.35857891963109362</v>
      </c>
      <c r="D25" s="53">
        <v>10</v>
      </c>
      <c r="E25" s="54">
        <f t="shared" si="1"/>
        <v>0.10232749921720541</v>
      </c>
      <c r="F25" s="54">
        <f t="shared" si="2"/>
        <v>1.5240314946329696E-2</v>
      </c>
      <c r="G25" s="54">
        <v>3.9395669792691174E-3</v>
      </c>
      <c r="H25" s="42">
        <f t="shared" si="3"/>
        <v>26534.022361305389</v>
      </c>
      <c r="I25" s="57">
        <f t="shared" si="4"/>
        <v>1.1131106399826004E-2</v>
      </c>
      <c r="J25" s="57">
        <f t="shared" si="0"/>
        <v>1.2390152968424741E-4</v>
      </c>
      <c r="K25" s="57">
        <f t="shared" si="5"/>
        <v>-1.1131106399826004E-2</v>
      </c>
      <c r="Q25">
        <v>1</v>
      </c>
      <c r="R25">
        <v>4.9546481821199778E-3</v>
      </c>
      <c r="S25">
        <v>3.8239314906675197E-2</v>
      </c>
      <c r="T25"/>
      <c r="U25"/>
      <c r="V25"/>
      <c r="W25"/>
      <c r="X25"/>
      <c r="Y25"/>
    </row>
    <row r="26" spans="1:25" ht="14.5" x14ac:dyDescent="0.35">
      <c r="A26" s="2" t="s">
        <v>462</v>
      </c>
      <c r="B26" s="11">
        <v>27472</v>
      </c>
      <c r="C26" s="52">
        <v>0.19512890922959567</v>
      </c>
      <c r="D26" s="53">
        <v>9</v>
      </c>
      <c r="E26" s="54">
        <f t="shared" si="1"/>
        <v>9.6069725021614039E-2</v>
      </c>
      <c r="F26" s="54">
        <f t="shared" si="2"/>
        <v>2.3825407059297025E-2</v>
      </c>
      <c r="G26" s="54">
        <v>4.1688028566509907E-3</v>
      </c>
      <c r="H26" s="42">
        <f t="shared" si="3"/>
        <v>26944.560236411657</v>
      </c>
      <c r="I26" s="57">
        <f t="shared" si="4"/>
        <v>1.9199176018795259E-2</v>
      </c>
      <c r="J26" s="57">
        <f t="shared" si="0"/>
        <v>3.6860835980068299E-4</v>
      </c>
      <c r="K26" s="57">
        <f t="shared" si="5"/>
        <v>-1.9199176018795259E-2</v>
      </c>
      <c r="Q26">
        <v>2</v>
      </c>
      <c r="R26">
        <v>2.8421866941596784E-2</v>
      </c>
      <c r="S26">
        <v>-6.4283444932857439E-2</v>
      </c>
      <c r="T26"/>
      <c r="U26"/>
      <c r="V26"/>
      <c r="W26"/>
      <c r="X26"/>
      <c r="Y26"/>
    </row>
    <row r="27" spans="1:25" ht="14.5" x14ac:dyDescent="0.35">
      <c r="A27" s="2" t="s">
        <v>463</v>
      </c>
      <c r="B27" s="11">
        <v>26821.7</v>
      </c>
      <c r="C27" s="52">
        <v>0.21143636363636364</v>
      </c>
      <c r="D27" s="53">
        <v>8</v>
      </c>
      <c r="E27" s="54">
        <f t="shared" si="1"/>
        <v>8.7877237013658238E-2</v>
      </c>
      <c r="F27" s="54">
        <f t="shared" si="2"/>
        <v>-2.3671374490390189E-2</v>
      </c>
      <c r="G27" s="54">
        <v>3.8960908841258086E-3</v>
      </c>
      <c r="H27" s="42">
        <f t="shared" si="3"/>
        <v>27579.033408768708</v>
      </c>
      <c r="I27" s="57">
        <f t="shared" si="4"/>
        <v>2.8235846675218466E-2</v>
      </c>
      <c r="J27" s="57">
        <f t="shared" si="0"/>
        <v>7.9726303746644573E-4</v>
      </c>
      <c r="K27" s="57">
        <f t="shared" si="5"/>
        <v>2.8235846675218466E-2</v>
      </c>
      <c r="Q27">
        <v>3</v>
      </c>
      <c r="R27">
        <v>2.4230139308860428E-2</v>
      </c>
      <c r="S27">
        <v>3.4395686608719681E-2</v>
      </c>
      <c r="T27"/>
      <c r="U27"/>
      <c r="V27"/>
      <c r="W27"/>
      <c r="X27"/>
      <c r="Y27"/>
    </row>
    <row r="28" spans="1:25" ht="14.5" x14ac:dyDescent="0.35">
      <c r="A28" s="2" t="s">
        <v>464</v>
      </c>
      <c r="B28" s="11">
        <v>27537.9</v>
      </c>
      <c r="C28" s="52">
        <v>0.20679401154401167</v>
      </c>
      <c r="D28" s="53">
        <v>7</v>
      </c>
      <c r="E28" s="54">
        <f t="shared" si="1"/>
        <v>7.7721305262019813E-2</v>
      </c>
      <c r="F28" s="54">
        <f t="shared" si="2"/>
        <v>2.6702259737451418E-2</v>
      </c>
      <c r="G28" s="54">
        <v>3.7664238914874E-3</v>
      </c>
      <c r="H28" s="42">
        <f t="shared" si="3"/>
        <v>26922.721891690308</v>
      </c>
      <c r="I28" s="57">
        <f t="shared" si="4"/>
        <v>2.2339325377377865E-2</v>
      </c>
      <c r="J28" s="57">
        <f t="shared" si="0"/>
        <v>4.9904545831635865E-4</v>
      </c>
      <c r="K28" s="57">
        <f t="shared" si="5"/>
        <v>-2.2339325377377865E-2</v>
      </c>
      <c r="Q28">
        <v>4</v>
      </c>
      <c r="R28">
        <v>2.5565737023125076E-2</v>
      </c>
      <c r="S28">
        <v>2.1210926356467721E-2</v>
      </c>
      <c r="T28"/>
      <c r="U28"/>
      <c r="V28"/>
      <c r="W28"/>
      <c r="X28"/>
      <c r="Y28"/>
    </row>
    <row r="29" spans="1:25" ht="14.5" x14ac:dyDescent="0.35">
      <c r="A29" s="2" t="s">
        <v>465</v>
      </c>
      <c r="B29" s="11">
        <v>28554</v>
      </c>
      <c r="C29" s="52">
        <v>0.22351217140347568</v>
      </c>
      <c r="D29" s="53">
        <v>7</v>
      </c>
      <c r="E29" s="54">
        <f t="shared" si="1"/>
        <v>6.7791870356349149E-2</v>
      </c>
      <c r="F29" s="54">
        <f t="shared" si="2"/>
        <v>3.6898238427766766E-2</v>
      </c>
      <c r="G29" s="54">
        <v>3.7094122830633432E-3</v>
      </c>
      <c r="H29" s="42">
        <f t="shared" si="3"/>
        <v>27640.049424509773</v>
      </c>
      <c r="I29" s="57">
        <f t="shared" si="4"/>
        <v>3.200779489704516E-2</v>
      </c>
      <c r="J29" s="57">
        <f t="shared" si="0"/>
        <v>1.0244989341713102E-3</v>
      </c>
      <c r="K29" s="57">
        <f t="shared" si="5"/>
        <v>-3.200779489704516E-2</v>
      </c>
      <c r="Q29">
        <v>5</v>
      </c>
      <c r="R29">
        <v>2.3139694210965372E-2</v>
      </c>
      <c r="S29">
        <v>-1.0127068364168058E-2</v>
      </c>
      <c r="T29"/>
      <c r="U29"/>
      <c r="V29"/>
      <c r="W29"/>
      <c r="X29"/>
      <c r="Y29"/>
    </row>
    <row r="30" spans="1:25" ht="14.5" x14ac:dyDescent="0.35">
      <c r="A30" s="2" t="s">
        <v>466</v>
      </c>
      <c r="B30" s="11">
        <v>28967.599999999999</v>
      </c>
      <c r="C30" s="52">
        <v>0.2409023464458247</v>
      </c>
      <c r="D30" s="53">
        <v>7</v>
      </c>
      <c r="E30" s="54">
        <f t="shared" si="1"/>
        <v>6.7613753317757208E-2</v>
      </c>
      <c r="F30" s="54">
        <f t="shared" si="2"/>
        <v>1.4484835749807332E-2</v>
      </c>
      <c r="G30" s="54">
        <v>3.659447285305626E-3</v>
      </c>
      <c r="H30" s="42">
        <f t="shared" si="3"/>
        <v>28658.491857784615</v>
      </c>
      <c r="I30" s="57">
        <f t="shared" si="4"/>
        <v>1.0670823341090869E-2</v>
      </c>
      <c r="J30" s="57">
        <f t="shared" si="0"/>
        <v>1.1386647077676968E-4</v>
      </c>
      <c r="K30" s="57">
        <f t="shared" si="5"/>
        <v>-1.0670823341090869E-2</v>
      </c>
      <c r="Q30">
        <v>6</v>
      </c>
      <c r="R30">
        <v>1.7114805988226969E-2</v>
      </c>
      <c r="S30">
        <v>-4.2042129646502675E-2</v>
      </c>
      <c r="T30"/>
      <c r="U30"/>
      <c r="V30"/>
      <c r="W30"/>
      <c r="X30"/>
      <c r="Y30"/>
    </row>
    <row r="31" spans="1:25" ht="14.5" x14ac:dyDescent="0.35">
      <c r="A31" s="2" t="s">
        <v>467</v>
      </c>
      <c r="B31" s="11">
        <v>29020.3</v>
      </c>
      <c r="C31" s="52">
        <v>0.29515959595959601</v>
      </c>
      <c r="D31" s="53">
        <v>6.5</v>
      </c>
      <c r="E31" s="54">
        <f t="shared" si="1"/>
        <v>6.7428539601467774E-2</v>
      </c>
      <c r="F31" s="54">
        <f t="shared" si="2"/>
        <v>1.8192739474447565E-3</v>
      </c>
      <c r="G31" s="54">
        <v>3.6388783690319134E-3</v>
      </c>
      <c r="H31" s="42">
        <f t="shared" si="3"/>
        <v>29073.009573042771</v>
      </c>
      <c r="I31" s="57">
        <f t="shared" si="4"/>
        <v>1.8163000741815835E-3</v>
      </c>
      <c r="J31" s="57">
        <f t="shared" si="0"/>
        <v>3.2989459594720255E-6</v>
      </c>
      <c r="K31" s="57">
        <f t="shared" si="5"/>
        <v>1.8163000741815835E-3</v>
      </c>
      <c r="Q31">
        <v>7</v>
      </c>
      <c r="R31">
        <v>1.6780611750351171E-2</v>
      </c>
      <c r="S31">
        <v>-0.1116223354404281</v>
      </c>
      <c r="T31"/>
      <c r="U31"/>
      <c r="V31"/>
      <c r="W31"/>
      <c r="X31"/>
      <c r="Y31"/>
    </row>
    <row r="32" spans="1:25" ht="14.5" x14ac:dyDescent="0.35">
      <c r="A32" s="2" t="s">
        <v>468</v>
      </c>
      <c r="B32" s="11">
        <v>29161.8</v>
      </c>
      <c r="C32" s="52">
        <v>0.29858333333333331</v>
      </c>
      <c r="D32" s="53">
        <v>6.5</v>
      </c>
      <c r="E32" s="54">
        <f t="shared" si="1"/>
        <v>6.1865801191569592E-2</v>
      </c>
      <c r="F32" s="54">
        <f t="shared" si="2"/>
        <v>4.8758972167758435E-3</v>
      </c>
      <c r="G32" s="54">
        <v>4.1355238553470123E-3</v>
      </c>
      <c r="H32" s="42">
        <f t="shared" si="3"/>
        <v>29140.314142939329</v>
      </c>
      <c r="I32" s="57">
        <f t="shared" si="4"/>
        <v>7.367808935206414E-4</v>
      </c>
      <c r="J32" s="57">
        <f t="shared" si="0"/>
        <v>5.4284608505707467E-7</v>
      </c>
      <c r="K32" s="57">
        <f t="shared" si="5"/>
        <v>-7.367808935206414E-4</v>
      </c>
      <c r="Q32">
        <v>8</v>
      </c>
      <c r="R32">
        <v>1.6915597796036935E-2</v>
      </c>
      <c r="S32">
        <v>0.12027858394738405</v>
      </c>
      <c r="T32"/>
      <c r="U32"/>
      <c r="V32"/>
      <c r="W32"/>
      <c r="X32"/>
      <c r="Y32"/>
    </row>
    <row r="33" spans="1:25" ht="14.5" x14ac:dyDescent="0.35">
      <c r="A33" s="2" t="s">
        <v>469</v>
      </c>
      <c r="B33" s="11">
        <v>26746.1</v>
      </c>
      <c r="C33" s="52">
        <v>0.16456860530773604</v>
      </c>
      <c r="D33" s="53">
        <v>6.5</v>
      </c>
      <c r="E33" s="54">
        <f t="shared" si="1"/>
        <v>6.1829553923576475E-2</v>
      </c>
      <c r="F33" s="54">
        <f t="shared" si="2"/>
        <v>-8.2837822082313189E-2</v>
      </c>
      <c r="G33" s="54">
        <v>3.9159346832373116E-3</v>
      </c>
      <c r="H33" s="42">
        <f t="shared" si="3"/>
        <v>29275.995704045632</v>
      </c>
      <c r="I33" s="57">
        <f t="shared" si="4"/>
        <v>9.4589330932196972E-2</v>
      </c>
      <c r="J33" s="57">
        <f t="shared" si="0"/>
        <v>8.9471415262006755E-3</v>
      </c>
      <c r="K33" s="57">
        <f t="shared" si="5"/>
        <v>9.4589330932196972E-2</v>
      </c>
      <c r="Q33">
        <v>9</v>
      </c>
      <c r="R33">
        <v>1.7968536485300148E-2</v>
      </c>
      <c r="S33">
        <v>-3.5813909230617502E-2</v>
      </c>
      <c r="T33"/>
      <c r="U33"/>
      <c r="V33"/>
      <c r="W33"/>
      <c r="X33"/>
      <c r="Y33"/>
    </row>
    <row r="34" spans="1:25" ht="14.5" x14ac:dyDescent="0.35">
      <c r="A34" s="2" t="s">
        <v>470</v>
      </c>
      <c r="B34" s="11">
        <v>25851.3</v>
      </c>
      <c r="C34" s="52">
        <v>8.1471152518978601E-2</v>
      </c>
      <c r="D34" s="53">
        <v>6.5</v>
      </c>
      <c r="E34" s="54">
        <f t="shared" si="1"/>
        <v>6.3250223935537919E-2</v>
      </c>
      <c r="F34" s="54">
        <f t="shared" si="2"/>
        <v>-3.3455344891404705E-2</v>
      </c>
      <c r="G34" s="54">
        <v>4.3452054098091003E-3</v>
      </c>
      <c r="H34" s="42">
        <f t="shared" si="3"/>
        <v>26862.317298411297</v>
      </c>
      <c r="I34" s="57">
        <f t="shared" si="4"/>
        <v>3.9108953840282609E-2</v>
      </c>
      <c r="J34" s="57">
        <f t="shared" si="0"/>
        <v>1.5295102704813558E-3</v>
      </c>
      <c r="K34" s="57">
        <f t="shared" si="5"/>
        <v>3.9108953840282609E-2</v>
      </c>
      <c r="Q34">
        <v>10</v>
      </c>
      <c r="R34">
        <v>1.3582559311248806E-2</v>
      </c>
      <c r="S34">
        <v>0.12055737511246609</v>
      </c>
      <c r="T34"/>
      <c r="U34"/>
      <c r="V34"/>
      <c r="W34"/>
      <c r="X34"/>
      <c r="Y34"/>
    </row>
    <row r="35" spans="1:25" ht="14.5" x14ac:dyDescent="0.35">
      <c r="A35" s="2" t="s">
        <v>471</v>
      </c>
      <c r="B35" s="11">
        <v>23091</v>
      </c>
      <c r="C35" s="52">
        <v>4.6016161616161629E-2</v>
      </c>
      <c r="D35" s="53">
        <v>6.5</v>
      </c>
      <c r="E35" s="54">
        <f t="shared" si="1"/>
        <v>6.413303854915875E-2</v>
      </c>
      <c r="F35" s="54">
        <f t="shared" si="2"/>
        <v>-0.10677606155203025</v>
      </c>
      <c r="G35" s="54">
        <v>4.8187407214324383E-3</v>
      </c>
      <c r="H35" s="42">
        <f t="shared" si="3"/>
        <v>25975.870712011965</v>
      </c>
      <c r="I35" s="57">
        <f t="shared" si="4"/>
        <v>0.12493485392629013</v>
      </c>
      <c r="J35" s="57">
        <f t="shared" si="0"/>
        <v>1.5608717725583452E-2</v>
      </c>
      <c r="K35" s="57">
        <f t="shared" si="5"/>
        <v>0.12493485392629013</v>
      </c>
      <c r="Q35">
        <v>11</v>
      </c>
      <c r="R35">
        <v>-1.5854138292089245E-3</v>
      </c>
      <c r="S35">
        <v>7.4452114920524398E-3</v>
      </c>
      <c r="T35"/>
      <c r="U35"/>
      <c r="V35"/>
      <c r="W35"/>
      <c r="X35"/>
      <c r="Y35"/>
    </row>
    <row r="36" spans="1:25" ht="14.5" x14ac:dyDescent="0.35">
      <c r="A36" s="2" t="s">
        <v>472</v>
      </c>
      <c r="B36" s="11">
        <v>24263.200000000001</v>
      </c>
      <c r="C36" s="52">
        <v>-6.5258373205741675E-3</v>
      </c>
      <c r="D36" s="53">
        <v>6.5</v>
      </c>
      <c r="E36" s="54">
        <f t="shared" si="1"/>
        <v>6.4510153287442584E-2</v>
      </c>
      <c r="F36" s="54">
        <f t="shared" si="2"/>
        <v>5.0764367069421015E-2</v>
      </c>
      <c r="G36" s="54">
        <v>5.1976706565853362E-3</v>
      </c>
      <c r="H36" s="42">
        <f t="shared" si="3"/>
        <v>23211.019413131209</v>
      </c>
      <c r="I36" s="57">
        <f t="shared" si="4"/>
        <v>4.3365285158956428E-2</v>
      </c>
      <c r="J36" s="57">
        <f t="shared" si="0"/>
        <v>1.8805479569176066E-3</v>
      </c>
      <c r="K36" s="57">
        <f t="shared" si="5"/>
        <v>-4.3365285158956428E-2</v>
      </c>
      <c r="Q36">
        <v>12</v>
      </c>
      <c r="R36">
        <v>-1.011029902442992E-2</v>
      </c>
      <c r="S36">
        <v>-5.2936591995716167E-2</v>
      </c>
      <c r="T36"/>
      <c r="U36"/>
      <c r="V36"/>
      <c r="W36"/>
      <c r="X36"/>
      <c r="Y36"/>
    </row>
    <row r="37" spans="1:25" ht="14.5" x14ac:dyDescent="0.35">
      <c r="A37" s="2" t="s">
        <v>473</v>
      </c>
      <c r="B37" s="11">
        <v>25118.1</v>
      </c>
      <c r="C37" s="52">
        <v>-2.7817083882301297E-2</v>
      </c>
      <c r="D37" s="53">
        <v>6.5</v>
      </c>
      <c r="E37" s="54">
        <f t="shared" si="1"/>
        <v>6.5069504703227921E-2</v>
      </c>
      <c r="F37" s="54">
        <f t="shared" si="2"/>
        <v>3.523442909426612E-2</v>
      </c>
      <c r="G37" s="54">
        <v>5.3972311323841216E-3</v>
      </c>
      <c r="H37" s="42">
        <f t="shared" si="3"/>
        <v>24394.154098411265</v>
      </c>
      <c r="I37" s="57">
        <f t="shared" si="4"/>
        <v>2.8821682435722976E-2</v>
      </c>
      <c r="J37" s="57">
        <f t="shared" si="0"/>
        <v>8.3068937842566235E-4</v>
      </c>
      <c r="K37" s="57">
        <f t="shared" si="5"/>
        <v>-2.8821682435722976E-2</v>
      </c>
      <c r="Q37">
        <v>13</v>
      </c>
      <c r="R37">
        <v>-9.2364545736945414E-3</v>
      </c>
      <c r="S37">
        <v>-1.4299541867203558E-2</v>
      </c>
      <c r="T37"/>
      <c r="U37"/>
      <c r="V37"/>
      <c r="W37"/>
      <c r="X37"/>
      <c r="Y37"/>
    </row>
    <row r="38" spans="1:25" ht="14.5" x14ac:dyDescent="0.35">
      <c r="A38" s="2" t="s">
        <v>474</v>
      </c>
      <c r="B38" s="11">
        <v>24413.3</v>
      </c>
      <c r="C38" s="52">
        <v>-8.9176046176046242E-2</v>
      </c>
      <c r="D38" s="53">
        <v>6.5</v>
      </c>
      <c r="E38" s="54">
        <f t="shared" si="1"/>
        <v>6.5296334374927989E-2</v>
      </c>
      <c r="F38" s="54">
        <f t="shared" si="2"/>
        <v>-2.8059447171561516E-2</v>
      </c>
      <c r="G38" s="54">
        <v>5.6579835239078781E-3</v>
      </c>
      <c r="H38" s="42">
        <f t="shared" si="3"/>
        <v>25260.21779595187</v>
      </c>
      <c r="I38" s="57">
        <f t="shared" si="4"/>
        <v>3.4690836386390658E-2</v>
      </c>
      <c r="J38" s="57">
        <f t="shared" si="0"/>
        <v>1.2034541291873261E-3</v>
      </c>
      <c r="K38" s="57">
        <f t="shared" si="5"/>
        <v>3.4690836386390658E-2</v>
      </c>
      <c r="Q38">
        <v>14</v>
      </c>
      <c r="R38">
        <v>-1.4793662833007037E-2</v>
      </c>
      <c r="S38">
        <v>3.5512940322149453E-2</v>
      </c>
      <c r="T38"/>
      <c r="U38"/>
      <c r="V38"/>
      <c r="W38"/>
      <c r="X38"/>
      <c r="Y38"/>
    </row>
    <row r="39" spans="1:25" ht="14.5" x14ac:dyDescent="0.35">
      <c r="A39" s="2" t="s">
        <v>475</v>
      </c>
      <c r="B39" s="11">
        <v>25357</v>
      </c>
      <c r="C39" s="52">
        <v>-0.18608174603174632</v>
      </c>
      <c r="D39" s="53">
        <v>6.5</v>
      </c>
      <c r="E39" s="54">
        <f t="shared" si="1"/>
        <v>6.5950572574813071E-2</v>
      </c>
      <c r="F39" s="54">
        <f t="shared" si="2"/>
        <v>3.86551592779346E-2</v>
      </c>
      <c r="G39" s="54">
        <v>5.4714454967857307E-3</v>
      </c>
      <c r="H39" s="42">
        <f t="shared" si="3"/>
        <v>24546.876040346677</v>
      </c>
      <c r="I39" s="57">
        <f t="shared" si="4"/>
        <v>3.1948730514387479E-2</v>
      </c>
      <c r="J39" s="57">
        <f t="shared" si="0"/>
        <v>1.0207213814809536E-3</v>
      </c>
      <c r="K39" s="57">
        <f t="shared" si="5"/>
        <v>-3.1948730514387479E-2</v>
      </c>
      <c r="Q39">
        <v>15</v>
      </c>
      <c r="R39">
        <v>-1.2262834346240606E-2</v>
      </c>
      <c r="S39">
        <v>-3.6340302431524668E-2</v>
      </c>
      <c r="T39"/>
      <c r="U39"/>
      <c r="V39"/>
      <c r="W39"/>
      <c r="X39"/>
      <c r="Y39"/>
    </row>
    <row r="40" spans="1:25" ht="14.5" x14ac:dyDescent="0.35">
      <c r="A40" s="2" t="s">
        <v>476</v>
      </c>
      <c r="B40" s="11">
        <v>24765.3</v>
      </c>
      <c r="C40" s="52">
        <v>-0.25809379509379504</v>
      </c>
      <c r="D40" s="53">
        <v>6.5</v>
      </c>
      <c r="E40" s="54">
        <f t="shared" si="1"/>
        <v>6.6985465183518222E-2</v>
      </c>
      <c r="F40" s="54">
        <f t="shared" si="2"/>
        <v>-2.3334779350869611E-2</v>
      </c>
      <c r="G40" s="54">
        <v>4.9511859742233256E-3</v>
      </c>
      <c r="H40" s="42">
        <f t="shared" si="3"/>
        <v>25482.547222748381</v>
      </c>
      <c r="I40" s="57">
        <f t="shared" si="4"/>
        <v>2.8961782120482341E-2</v>
      </c>
      <c r="J40" s="57">
        <f t="shared" si="0"/>
        <v>8.3878482359429061E-4</v>
      </c>
      <c r="K40" s="57">
        <f t="shared" si="5"/>
        <v>2.8961782120482341E-2</v>
      </c>
      <c r="Q40">
        <v>16</v>
      </c>
      <c r="R40">
        <v>1.333481888017532E-3</v>
      </c>
      <c r="S40">
        <v>1.3906833058312165E-2</v>
      </c>
      <c r="T40"/>
      <c r="U40"/>
      <c r="V40"/>
      <c r="W40"/>
      <c r="X40"/>
      <c r="Y40"/>
    </row>
    <row r="41" spans="1:25" ht="14.5" x14ac:dyDescent="0.35">
      <c r="A41" s="2" t="s">
        <v>477</v>
      </c>
      <c r="B41" s="11">
        <v>25064.1</v>
      </c>
      <c r="C41" s="52">
        <v>-0.29812585482150689</v>
      </c>
      <c r="D41" s="53">
        <v>6.5</v>
      </c>
      <c r="E41" s="54">
        <f t="shared" si="1"/>
        <v>6.7755811496225116E-2</v>
      </c>
      <c r="F41" s="54">
        <f t="shared" si="2"/>
        <v>1.2065268742958869E-2</v>
      </c>
      <c r="G41" s="54">
        <v>4.6856133407336973E-3</v>
      </c>
      <c r="H41" s="42">
        <f t="shared" si="3"/>
        <v>24881.340620067273</v>
      </c>
      <c r="I41" s="57">
        <f t="shared" si="4"/>
        <v>7.2916793315030669E-3</v>
      </c>
      <c r="J41" s="57">
        <f t="shared" si="0"/>
        <v>5.3168587473469011E-5</v>
      </c>
      <c r="K41" s="57">
        <f t="shared" si="5"/>
        <v>-7.2916793315030669E-3</v>
      </c>
      <c r="Q41">
        <v>17</v>
      </c>
      <c r="R41">
        <v>4.6178734561192966E-3</v>
      </c>
      <c r="S41">
        <v>1.9207533603177729E-2</v>
      </c>
      <c r="T41"/>
      <c r="U41"/>
      <c r="V41"/>
      <c r="W41"/>
      <c r="X41"/>
      <c r="Y41"/>
    </row>
    <row r="42" spans="1:25" ht="14.5" x14ac:dyDescent="0.35">
      <c r="A42" s="2" t="s">
        <v>478</v>
      </c>
      <c r="B42" s="11">
        <v>23938.1</v>
      </c>
      <c r="C42" s="52">
        <v>-0.31248124098124103</v>
      </c>
      <c r="D42" s="53">
        <v>6.5</v>
      </c>
      <c r="E42" s="54">
        <f t="shared" si="1"/>
        <v>6.8184534273875164E-2</v>
      </c>
      <c r="F42" s="54">
        <f t="shared" si="2"/>
        <v>-4.4924812780031999E-2</v>
      </c>
      <c r="G42" s="54">
        <v>4.4880097763954161E-3</v>
      </c>
      <c r="H42" s="42">
        <f t="shared" si="3"/>
        <v>25176.587925836553</v>
      </c>
      <c r="I42" s="57">
        <f t="shared" si="4"/>
        <v>5.1737102185910933E-2</v>
      </c>
      <c r="J42" s="57">
        <f t="shared" si="0"/>
        <v>2.67672774259539E-3</v>
      </c>
      <c r="K42" s="57">
        <f t="shared" si="5"/>
        <v>5.1737102185910933E-2</v>
      </c>
      <c r="Q42">
        <v>18</v>
      </c>
      <c r="R42">
        <v>8.9176991919314233E-3</v>
      </c>
      <c r="S42">
        <v>-3.2589073682321612E-2</v>
      </c>
      <c r="T42"/>
      <c r="U42"/>
      <c r="V42"/>
      <c r="W42"/>
      <c r="X42"/>
      <c r="Y42"/>
    </row>
    <row r="43" spans="1:25" ht="14.5" x14ac:dyDescent="0.35">
      <c r="A43" s="2" t="s">
        <v>479</v>
      </c>
      <c r="B43" s="11">
        <v>24231</v>
      </c>
      <c r="C43" s="52">
        <v>-0.32783109354413736</v>
      </c>
      <c r="D43" s="53">
        <v>6.5</v>
      </c>
      <c r="E43" s="54">
        <f t="shared" si="1"/>
        <v>6.833835695569368E-2</v>
      </c>
      <c r="F43" s="54">
        <f t="shared" si="2"/>
        <v>1.2235724639800213E-2</v>
      </c>
      <c r="G43" s="54">
        <v>4.236610195050278E-3</v>
      </c>
      <c r="H43" s="42">
        <f t="shared" si="3"/>
        <v>24039.516398510128</v>
      </c>
      <c r="I43" s="57">
        <f t="shared" si="4"/>
        <v>7.9024225780971458E-3</v>
      </c>
      <c r="J43" s="57">
        <f t="shared" si="0"/>
        <v>6.2448282602819546E-5</v>
      </c>
      <c r="K43" s="57">
        <f t="shared" si="5"/>
        <v>-7.9024225780971458E-3</v>
      </c>
      <c r="Q43">
        <v>19</v>
      </c>
      <c r="R43">
        <v>1.4248037994312256E-2</v>
      </c>
      <c r="S43">
        <v>1.2454221743139163E-2</v>
      </c>
      <c r="T43"/>
      <c r="U43"/>
      <c r="V43"/>
      <c r="W43"/>
      <c r="X43"/>
      <c r="Y43"/>
    </row>
    <row r="44" spans="1:25" ht="14.5" x14ac:dyDescent="0.35">
      <c r="A44" s="2" t="s">
        <v>480</v>
      </c>
      <c r="B44" s="11">
        <v>25964.5</v>
      </c>
      <c r="C44" s="52">
        <v>-0.32994781144781138</v>
      </c>
      <c r="D44" s="53">
        <v>6.5</v>
      </c>
      <c r="E44" s="54">
        <f t="shared" si="1"/>
        <v>6.8502884691434618E-2</v>
      </c>
      <c r="F44" s="54">
        <f t="shared" si="2"/>
        <v>7.154058850233172E-2</v>
      </c>
      <c r="G44" s="54">
        <v>4.422491353206332E-3</v>
      </c>
      <c r="H44" s="42">
        <f t="shared" si="3"/>
        <v>24338.16138797954</v>
      </c>
      <c r="I44" s="57">
        <f t="shared" si="4"/>
        <v>6.2637008685723181E-2</v>
      </c>
      <c r="J44" s="57">
        <f t="shared" si="0"/>
        <v>3.923394857095361E-3</v>
      </c>
      <c r="K44" s="57">
        <f t="shared" si="5"/>
        <v>-6.2637008685723181E-2</v>
      </c>
      <c r="Q44">
        <v>20</v>
      </c>
      <c r="R44">
        <v>1.9459499971188225E-2</v>
      </c>
      <c r="S44">
        <v>1.7438738456578541E-2</v>
      </c>
      <c r="T44"/>
      <c r="U44"/>
      <c r="V44"/>
      <c r="W44"/>
      <c r="X44"/>
      <c r="Y44"/>
    </row>
    <row r="45" spans="1:25" ht="14.5" x14ac:dyDescent="0.35">
      <c r="A45" s="2" t="s">
        <v>481</v>
      </c>
      <c r="B45" s="11">
        <v>26842.799999999999</v>
      </c>
      <c r="C45" s="52">
        <v>-0.32963216011042068</v>
      </c>
      <c r="D45" s="53">
        <v>6.25</v>
      </c>
      <c r="E45" s="54">
        <f t="shared" si="1"/>
        <v>6.8525576755263939E-2</v>
      </c>
      <c r="F45" s="54">
        <f t="shared" si="2"/>
        <v>3.3826956036126218E-2</v>
      </c>
      <c r="G45" s="54">
        <v>5.1254588991959922E-3</v>
      </c>
      <c r="H45" s="42">
        <f t="shared" si="3"/>
        <v>26097.579977588175</v>
      </c>
      <c r="I45" s="57">
        <f t="shared" si="4"/>
        <v>2.7762380318440111E-2</v>
      </c>
      <c r="J45" s="57">
        <f t="shared" si="0"/>
        <v>7.7074976094571078E-4</v>
      </c>
      <c r="K45" s="57">
        <f t="shared" si="5"/>
        <v>-2.7762380318440111E-2</v>
      </c>
      <c r="Q45">
        <v>21</v>
      </c>
      <c r="R45">
        <v>1.9552984664211952E-2</v>
      </c>
      <c r="S45">
        <v>-5.0681489144046195E-3</v>
      </c>
      <c r="T45"/>
      <c r="U45"/>
      <c r="V45"/>
      <c r="W45"/>
      <c r="X45"/>
      <c r="Y45"/>
    </row>
    <row r="46" spans="1:25" ht="14.5" x14ac:dyDescent="0.35">
      <c r="A46" s="2" t="s">
        <v>482</v>
      </c>
      <c r="B46" s="11">
        <v>27240.5</v>
      </c>
      <c r="C46" s="52">
        <v>-0.32881339712918672</v>
      </c>
      <c r="D46" s="53">
        <v>6.25</v>
      </c>
      <c r="E46" s="54">
        <f t="shared" si="1"/>
        <v>6.6013924727155837E-2</v>
      </c>
      <c r="F46" s="54">
        <f t="shared" si="2"/>
        <v>1.4815891039682921E-2</v>
      </c>
      <c r="G46" s="54">
        <v>4.920643796012307E-3</v>
      </c>
      <c r="H46" s="42">
        <f t="shared" si="3"/>
        <v>26974.883857287597</v>
      </c>
      <c r="I46" s="57">
        <f t="shared" si="4"/>
        <v>9.7507807386943163E-3</v>
      </c>
      <c r="J46" s="57">
        <f t="shared" si="0"/>
        <v>9.5077725014092082E-5</v>
      </c>
      <c r="K46" s="57">
        <f t="shared" si="5"/>
        <v>-9.7507807386943163E-3</v>
      </c>
      <c r="Q46">
        <v>22</v>
      </c>
      <c r="R46">
        <v>1.9650194047143403E-2</v>
      </c>
      <c r="S46">
        <v>-1.7830920099698645E-2</v>
      </c>
      <c r="T46"/>
      <c r="U46"/>
      <c r="V46"/>
      <c r="W46"/>
      <c r="X46"/>
      <c r="Y46"/>
    </row>
    <row r="47" spans="1:25" ht="14.5" x14ac:dyDescent="0.35">
      <c r="A47" s="2" t="s">
        <v>483</v>
      </c>
      <c r="B47" s="11">
        <v>28083.3</v>
      </c>
      <c r="C47" s="52">
        <v>-0.32828643578643601</v>
      </c>
      <c r="D47" s="53">
        <v>6.25</v>
      </c>
      <c r="E47" s="54">
        <f t="shared" si="1"/>
        <v>6.6005167805835097E-2</v>
      </c>
      <c r="F47" s="54">
        <f t="shared" si="2"/>
        <v>3.093922651933699E-2</v>
      </c>
      <c r="G47" s="54">
        <v>5.103304153135097E-3</v>
      </c>
      <c r="H47" s="42">
        <f t="shared" si="3"/>
        <v>27379.516556783481</v>
      </c>
      <c r="I47" s="57">
        <f t="shared" si="4"/>
        <v>2.5060567782864487E-2</v>
      </c>
      <c r="J47" s="57">
        <f t="shared" si="0"/>
        <v>6.2803205759954552E-4</v>
      </c>
      <c r="K47" s="57">
        <f t="shared" si="5"/>
        <v>-2.5060567782864487E-2</v>
      </c>
      <c r="Q47">
        <v>23</v>
      </c>
      <c r="R47">
        <v>2.2569796218454861E-2</v>
      </c>
      <c r="S47">
        <v>-1.7693899001679017E-2</v>
      </c>
      <c r="T47"/>
      <c r="U47"/>
      <c r="V47"/>
      <c r="W47"/>
      <c r="X47"/>
      <c r="Y47"/>
    </row>
    <row r="48" spans="1:25" ht="14.5" x14ac:dyDescent="0.35">
      <c r="A48" s="2" t="s">
        <v>484</v>
      </c>
      <c r="B48" s="11">
        <v>26819.5</v>
      </c>
      <c r="C48" s="52">
        <v>-0.32524163059163069</v>
      </c>
      <c r="D48" s="53">
        <v>6.25</v>
      </c>
      <c r="E48" s="54">
        <f t="shared" si="1"/>
        <v>6.599953186867169E-2</v>
      </c>
      <c r="F48" s="54">
        <f t="shared" si="2"/>
        <v>-4.5001833830069803E-2</v>
      </c>
      <c r="G48" s="54">
        <v>5.1185328099442188E-3</v>
      </c>
      <c r="H48" s="42">
        <f t="shared" si="3"/>
        <v>28227.045292461502</v>
      </c>
      <c r="I48" s="57">
        <f t="shared" si="4"/>
        <v>5.2482160087305954E-2</v>
      </c>
      <c r="J48" s="57">
        <f t="shared" si="0"/>
        <v>2.75437712742961E-3</v>
      </c>
      <c r="K48" s="57">
        <f t="shared" si="5"/>
        <v>5.2482160087305954E-2</v>
      </c>
      <c r="Q48" s="58">
        <v>24</v>
      </c>
      <c r="R48" s="58">
        <v>-4.4841519699356479E-3</v>
      </c>
      <c r="S48" s="61">
        <v>-1.9187222520454541E-2</v>
      </c>
      <c r="T48" s="40"/>
      <c r="U48" s="40"/>
      <c r="V48" s="40"/>
      <c r="W48"/>
      <c r="X48"/>
      <c r="Y48"/>
    </row>
    <row r="49" spans="1:25" ht="14.5" x14ac:dyDescent="0.35">
      <c r="A49" s="2" t="s">
        <v>485</v>
      </c>
      <c r="B49" s="11">
        <v>27075.7</v>
      </c>
      <c r="C49" s="52">
        <v>-0.31952575757575769</v>
      </c>
      <c r="D49" s="53">
        <v>6.25</v>
      </c>
      <c r="E49" s="54">
        <f t="shared" si="1"/>
        <v>6.5966968349427946E-2</v>
      </c>
      <c r="F49" s="54">
        <f t="shared" si="2"/>
        <v>9.5527507969947519E-3</v>
      </c>
      <c r="G49" s="54">
        <v>4.6042033370956217E-3</v>
      </c>
      <c r="H49" s="42">
        <f t="shared" si="3"/>
        <v>26942.982431399236</v>
      </c>
      <c r="I49" s="57">
        <f t="shared" si="4"/>
        <v>4.9017225261309928E-3</v>
      </c>
      <c r="J49" s="57">
        <f t="shared" si="0"/>
        <v>2.4026883723180002E-5</v>
      </c>
      <c r="K49" s="57">
        <f t="shared" si="5"/>
        <v>-4.9017225261309928E-3</v>
      </c>
      <c r="Q49" s="58">
        <v>25</v>
      </c>
      <c r="R49" s="58">
        <v>-8.2566811457559022E-4</v>
      </c>
      <c r="S49" s="61">
        <v>2.7527927852027009E-2</v>
      </c>
      <c r="T49" s="40"/>
      <c r="U49" s="40"/>
      <c r="V49" s="40"/>
      <c r="W49"/>
      <c r="X49"/>
      <c r="Y49"/>
    </row>
    <row r="50" spans="1:25" ht="14.5" x14ac:dyDescent="0.35">
      <c r="A50" s="2" t="s">
        <v>486</v>
      </c>
      <c r="B50" s="11">
        <v>26596.6</v>
      </c>
      <c r="C50" s="52">
        <v>-0.31531800845988472</v>
      </c>
      <c r="D50" s="53">
        <v>6.25</v>
      </c>
      <c r="E50" s="54">
        <f t="shared" si="1"/>
        <v>6.5905843722197543E-2</v>
      </c>
      <c r="F50" s="54">
        <f t="shared" si="2"/>
        <v>-1.7694833374575808E-2</v>
      </c>
      <c r="G50" s="54">
        <v>4.8945808403439619E-3</v>
      </c>
      <c r="H50" s="42">
        <f t="shared" si="3"/>
        <v>27208.224202458903</v>
      </c>
      <c r="I50" s="57">
        <f t="shared" si="4"/>
        <v>2.2996330450467527E-2</v>
      </c>
      <c r="J50" s="57">
        <f t="shared" si="0"/>
        <v>5.2883121418710003E-4</v>
      </c>
      <c r="K50" s="57">
        <f t="shared" si="5"/>
        <v>2.2996330450467527E-2</v>
      </c>
      <c r="Q50" s="58">
        <v>26</v>
      </c>
      <c r="R50" s="58">
        <v>2.751224501838883E-3</v>
      </c>
      <c r="S50" s="61">
        <v>3.414701392592788E-2</v>
      </c>
      <c r="T50" s="40"/>
      <c r="U50" s="40"/>
      <c r="V50" s="40"/>
      <c r="W50"/>
      <c r="X50"/>
      <c r="Y50"/>
    </row>
    <row r="51" spans="1:25" ht="14.5" x14ac:dyDescent="0.35">
      <c r="A51" s="2" t="s">
        <v>487</v>
      </c>
      <c r="B51" s="11">
        <v>26026.799999999999</v>
      </c>
      <c r="C51" s="52">
        <v>-0.30854682539682532</v>
      </c>
      <c r="D51" s="53">
        <v>6.25</v>
      </c>
      <c r="E51" s="54">
        <f t="shared" si="1"/>
        <v>6.5860851208985771E-2</v>
      </c>
      <c r="F51" s="54">
        <f t="shared" si="2"/>
        <v>-2.1423791010881064E-2</v>
      </c>
      <c r="G51" s="54">
        <v>5.0379167301960936E-3</v>
      </c>
      <c r="H51" s="42">
        <f t="shared" si="3"/>
        <v>26730.591456106333</v>
      </c>
      <c r="I51" s="57">
        <f t="shared" si="4"/>
        <v>2.70410290971742E-2</v>
      </c>
      <c r="J51" s="57">
        <f t="shared" si="0"/>
        <v>7.3121725463422174E-4</v>
      </c>
      <c r="K51" s="57">
        <f t="shared" si="5"/>
        <v>2.70410290971742E-2</v>
      </c>
      <c r="Q51" s="58">
        <v>27</v>
      </c>
      <c r="R51" s="58">
        <v>2.8153878229391881E-3</v>
      </c>
      <c r="S51" s="61">
        <v>1.1669447926868144E-2</v>
      </c>
      <c r="T51" s="40"/>
      <c r="U51" s="40"/>
      <c r="V51" s="40"/>
      <c r="W51"/>
      <c r="X51"/>
      <c r="Y51"/>
    </row>
    <row r="52" spans="1:25" ht="14.5" x14ac:dyDescent="0.35">
      <c r="A52" s="2" t="s">
        <v>488</v>
      </c>
      <c r="B52" s="11">
        <v>26487.4</v>
      </c>
      <c r="C52" s="52">
        <v>-0.31707121212121203</v>
      </c>
      <c r="D52" s="53">
        <v>6.25</v>
      </c>
      <c r="E52" s="54">
        <f t="shared" si="1"/>
        <v>6.5788456447815502E-2</v>
      </c>
      <c r="F52" s="54">
        <f t="shared" si="2"/>
        <v>1.7697142944964505E-2</v>
      </c>
      <c r="G52" s="54">
        <v>5.1037775451449538E-3</v>
      </c>
      <c r="H52" s="42">
        <f t="shared" si="3"/>
        <v>26159.63499741198</v>
      </c>
      <c r="I52" s="57">
        <f t="shared" si="4"/>
        <v>1.2374374328473959E-2</v>
      </c>
      <c r="J52" s="57">
        <f t="shared" si="0"/>
        <v>1.5312514002119534E-4</v>
      </c>
      <c r="K52" s="57">
        <f t="shared" si="5"/>
        <v>-1.2374374328473959E-2</v>
      </c>
      <c r="Q52" s="58">
        <v>28</v>
      </c>
      <c r="R52" s="58">
        <v>2.8821075890233597E-3</v>
      </c>
      <c r="S52" s="61">
        <v>-1.0628336415786032E-3</v>
      </c>
      <c r="T52" s="40"/>
      <c r="U52" s="40"/>
      <c r="V52" s="40"/>
      <c r="W52"/>
      <c r="X52"/>
      <c r="Y52"/>
    </row>
    <row r="53" spans="1:25" ht="14.5" x14ac:dyDescent="0.35">
      <c r="A53" s="2" t="s">
        <v>489</v>
      </c>
      <c r="B53" s="11">
        <v>25283.4</v>
      </c>
      <c r="C53" s="52">
        <v>-0.39670760399021271</v>
      </c>
      <c r="D53" s="53">
        <v>6</v>
      </c>
      <c r="E53" s="54">
        <f t="shared" si="1"/>
        <v>6.5879597359099096E-2</v>
      </c>
      <c r="F53" s="54">
        <f t="shared" si="2"/>
        <v>-4.5455575103634176E-2</v>
      </c>
      <c r="G53" s="54">
        <v>5.2657722909149954E-3</v>
      </c>
      <c r="H53" s="42">
        <f t="shared" si="3"/>
        <v>26626.876616978385</v>
      </c>
      <c r="I53" s="57">
        <f t="shared" si="4"/>
        <v>5.3136706968935479E-2</v>
      </c>
      <c r="J53" s="57">
        <f t="shared" si="0"/>
        <v>2.8235096275025162E-3</v>
      </c>
      <c r="K53" s="57">
        <f t="shared" si="5"/>
        <v>5.3136706968935479E-2</v>
      </c>
      <c r="Q53" s="58">
        <v>29</v>
      </c>
      <c r="R53" s="58">
        <v>4.8859797262027563E-3</v>
      </c>
      <c r="S53" s="61">
        <v>-1.0082509426912779E-5</v>
      </c>
      <c r="T53" s="40"/>
      <c r="U53" s="40"/>
      <c r="V53" s="40"/>
      <c r="W53"/>
      <c r="X53"/>
      <c r="Y53"/>
    </row>
    <row r="54" spans="1:25" ht="14.5" x14ac:dyDescent="0.35">
      <c r="A54" s="2" t="s">
        <v>490</v>
      </c>
      <c r="B54" s="11">
        <v>25974.7</v>
      </c>
      <c r="C54" s="52">
        <v>-0.40295175983436837</v>
      </c>
      <c r="D54" s="53">
        <v>6</v>
      </c>
      <c r="E54" s="54">
        <f t="shared" si="1"/>
        <v>6.4221848998301523E-2</v>
      </c>
      <c r="F54" s="54">
        <f t="shared" si="2"/>
        <v>2.7342050515357874E-2</v>
      </c>
      <c r="G54" s="54">
        <v>5.1454523853071716E-3</v>
      </c>
      <c r="H54" s="42">
        <f t="shared" si="3"/>
        <v>25413.494530838678</v>
      </c>
      <c r="I54" s="57">
        <f t="shared" si="4"/>
        <v>2.1605849890906265E-2</v>
      </c>
      <c r="J54" s="57">
        <f t="shared" si="0"/>
        <v>4.668127495083743E-4</v>
      </c>
      <c r="K54" s="57">
        <f t="shared" si="5"/>
        <v>-2.1605849890906265E-2</v>
      </c>
      <c r="Q54" s="58">
        <v>30</v>
      </c>
      <c r="R54" s="58">
        <v>4.8990371243811497E-3</v>
      </c>
      <c r="S54" s="61">
        <v>-8.7736859206694343E-2</v>
      </c>
      <c r="T54" s="40"/>
      <c r="U54" s="40"/>
      <c r="V54" s="40"/>
      <c r="W54"/>
      <c r="X54"/>
      <c r="Y54"/>
    </row>
    <row r="55" spans="1:25" ht="14.5" x14ac:dyDescent="0.35">
      <c r="A55" s="2" t="s">
        <v>491</v>
      </c>
      <c r="B55" s="11">
        <v>26046.1</v>
      </c>
      <c r="C55" s="52">
        <v>-0.40554090909090929</v>
      </c>
      <c r="D55" s="53">
        <v>5</v>
      </c>
      <c r="E55" s="54">
        <f t="shared" si="1"/>
        <v>6.4288569520599248E-2</v>
      </c>
      <c r="F55" s="54">
        <f t="shared" si="2"/>
        <v>2.7488286678959838E-3</v>
      </c>
      <c r="G55" s="54">
        <v>4.1321877841325391E-3</v>
      </c>
      <c r="H55" s="42">
        <f t="shared" si="3"/>
        <v>26082.032338036508</v>
      </c>
      <c r="I55" s="57">
        <f t="shared" si="4"/>
        <v>1.37956692312897E-3</v>
      </c>
      <c r="J55" s="57">
        <f t="shared" si="0"/>
        <v>1.9032048953915335E-6</v>
      </c>
      <c r="K55" s="57">
        <f t="shared" si="5"/>
        <v>1.37956692312897E-3</v>
      </c>
      <c r="Q55" s="58">
        <v>31</v>
      </c>
      <c r="R55" s="58">
        <v>4.3872674089420298E-3</v>
      </c>
      <c r="S55" s="61">
        <v>-3.7842612300346731E-2</v>
      </c>
      <c r="T55" s="40"/>
      <c r="U55" s="40"/>
      <c r="V55" s="40"/>
      <c r="W55"/>
      <c r="X55"/>
      <c r="Y55"/>
    </row>
    <row r="56" spans="1:25" ht="14.5" x14ac:dyDescent="0.35">
      <c r="A56" s="2" t="s">
        <v>492</v>
      </c>
      <c r="B56" s="11">
        <v>26060.400000000001</v>
      </c>
      <c r="C56" s="52">
        <v>-0.30066666666666669</v>
      </c>
      <c r="D56" s="53">
        <v>4.5</v>
      </c>
      <c r="E56" s="54">
        <f t="shared" si="1"/>
        <v>5.4275518522137522E-2</v>
      </c>
      <c r="F56" s="54">
        <f t="shared" si="2"/>
        <v>5.4902653372301076E-4</v>
      </c>
      <c r="G56" s="54">
        <v>4.0232511156911097E-3</v>
      </c>
      <c r="H56" s="42">
        <f t="shared" si="3"/>
        <v>26150.890000884399</v>
      </c>
      <c r="I56" s="57">
        <f t="shared" si="4"/>
        <v>3.4723181871497708E-3</v>
      </c>
      <c r="J56" s="57">
        <f t="shared" si="0"/>
        <v>1.2056993592811071E-5</v>
      </c>
      <c r="K56" s="57">
        <f t="shared" si="5"/>
        <v>3.4723181871497708E-3</v>
      </c>
      <c r="Q56" s="58">
        <v>32</v>
      </c>
      <c r="R56" s="58">
        <v>4.0692500088461009E-3</v>
      </c>
      <c r="S56" s="61">
        <v>-0.11084531156087635</v>
      </c>
      <c r="T56" s="40"/>
      <c r="U56" s="40"/>
      <c r="V56" s="40"/>
      <c r="W56"/>
      <c r="X56"/>
      <c r="Y56"/>
    </row>
    <row r="57" spans="1:25" ht="14.5" x14ac:dyDescent="0.35">
      <c r="A57" s="2" t="s">
        <v>493</v>
      </c>
      <c r="B57" s="11">
        <v>27163.5</v>
      </c>
      <c r="C57" s="52">
        <v>-0.47173611895351031</v>
      </c>
      <c r="D57" s="53">
        <v>4</v>
      </c>
      <c r="E57" s="54">
        <f t="shared" si="1"/>
        <v>4.8151442002286826E-2</v>
      </c>
      <c r="F57" s="54">
        <f t="shared" si="2"/>
        <v>4.232859050513417E-2</v>
      </c>
      <c r="G57" s="54">
        <v>4.5130226413122405E-3</v>
      </c>
      <c r="H57" s="42">
        <f t="shared" si="3"/>
        <v>26178.011175241652</v>
      </c>
      <c r="I57" s="57">
        <f t="shared" si="4"/>
        <v>3.6279891205417109E-2</v>
      </c>
      <c r="J57" s="57">
        <f t="shared" si="0"/>
        <v>1.3162305058769016E-3</v>
      </c>
      <c r="K57" s="57">
        <f t="shared" si="5"/>
        <v>-3.6279891205417109E-2</v>
      </c>
      <c r="Q57" s="58">
        <v>33</v>
      </c>
      <c r="R57" s="58">
        <v>3.9334015002730552E-3</v>
      </c>
      <c r="S57" s="61">
        <v>4.683096556914796E-2</v>
      </c>
      <c r="T57" s="40"/>
      <c r="U57" s="40"/>
      <c r="V57" s="40"/>
      <c r="W57"/>
      <c r="X57"/>
      <c r="Y57"/>
    </row>
    <row r="58" spans="1:25" ht="14.5" x14ac:dyDescent="0.35">
      <c r="A58" s="2" t="s">
        <v>494</v>
      </c>
      <c r="B58" s="11">
        <v>28175.4</v>
      </c>
      <c r="C58" s="52">
        <v>-0.52269480519480538</v>
      </c>
      <c r="D58" s="53">
        <v>4</v>
      </c>
      <c r="E58" s="54">
        <f t="shared" si="1"/>
        <v>4.4929308967933235E-2</v>
      </c>
      <c r="F58" s="54">
        <f t="shared" si="2"/>
        <v>3.7252195041139816E-2</v>
      </c>
      <c r="G58" s="54">
        <v>4.3527612062570324E-3</v>
      </c>
      <c r="H58" s="42">
        <f t="shared" si="3"/>
        <v>27281.736229026163</v>
      </c>
      <c r="I58" s="57">
        <f t="shared" si="4"/>
        <v>3.1717873427665223E-2</v>
      </c>
      <c r="J58" s="57">
        <f t="shared" si="0"/>
        <v>1.0060234947733917E-3</v>
      </c>
      <c r="K58" s="57">
        <f t="shared" si="5"/>
        <v>-3.1717873427665223E-2</v>
      </c>
      <c r="Q58" s="58">
        <v>34</v>
      </c>
      <c r="R58" s="58">
        <v>3.7319056479802985E-3</v>
      </c>
      <c r="S58" s="61">
        <v>3.1502523446285818E-2</v>
      </c>
      <c r="T58" s="40"/>
      <c r="U58" s="40"/>
      <c r="V58" s="40"/>
      <c r="W58"/>
      <c r="X58"/>
      <c r="Y58"/>
    </row>
    <row r="59" spans="1:25" ht="14.5" x14ac:dyDescent="0.35">
      <c r="A59" s="2" t="s">
        <v>495</v>
      </c>
      <c r="B59" s="11">
        <v>27061.200000000001</v>
      </c>
      <c r="C59" s="52">
        <v>-0.54244565217391294</v>
      </c>
      <c r="D59" s="53">
        <v>4</v>
      </c>
      <c r="E59" s="54">
        <f t="shared" si="1"/>
        <v>4.5464589097363062E-2</v>
      </c>
      <c r="F59" s="54">
        <f t="shared" si="2"/>
        <v>-3.95451351178688E-2</v>
      </c>
      <c r="G59" s="54">
        <v>5.3994896273457226E-3</v>
      </c>
      <c r="H59" s="42">
        <f t="shared" si="3"/>
        <v>28327.532780046316</v>
      </c>
      <c r="I59" s="57">
        <f t="shared" si="4"/>
        <v>4.6795145080274179E-2</v>
      </c>
      <c r="J59" s="57">
        <f t="shared" si="0"/>
        <v>2.1897856030839088E-3</v>
      </c>
      <c r="K59" s="57">
        <f t="shared" si="5"/>
        <v>4.6795145080274179E-2</v>
      </c>
      <c r="Q59" s="58">
        <v>35</v>
      </c>
      <c r="R59" s="58">
        <v>3.6501945148095342E-3</v>
      </c>
      <c r="S59" s="61">
        <v>-3.1709641686371054E-2</v>
      </c>
      <c r="T59" s="40"/>
      <c r="U59" s="40"/>
      <c r="V59" s="40"/>
      <c r="W59"/>
      <c r="X59"/>
      <c r="Y59"/>
    </row>
    <row r="60" spans="1:25" ht="14.5" x14ac:dyDescent="0.35">
      <c r="A60" s="2" t="s">
        <v>496</v>
      </c>
      <c r="B60" s="11">
        <v>27283.1</v>
      </c>
      <c r="C60" s="52">
        <v>-0.54038477633477633</v>
      </c>
      <c r="D60" s="53">
        <v>4</v>
      </c>
      <c r="E60" s="54">
        <f t="shared" si="1"/>
        <v>4.5672203403352762E-2</v>
      </c>
      <c r="F60" s="54">
        <f t="shared" si="2"/>
        <v>8.1999320059715688E-3</v>
      </c>
      <c r="G60" s="54">
        <v>5.635018058596575E-3</v>
      </c>
      <c r="H60" s="42">
        <f t="shared" si="3"/>
        <v>27213.690350687299</v>
      </c>
      <c r="I60" s="57">
        <f t="shared" si="4"/>
        <v>2.5440528866844279E-3</v>
      </c>
      <c r="J60" s="57">
        <f t="shared" si="0"/>
        <v>6.472205090247371E-6</v>
      </c>
      <c r="K60" s="57">
        <f t="shared" si="5"/>
        <v>-2.5440528866844279E-3</v>
      </c>
      <c r="Q60" s="58">
        <v>36</v>
      </c>
      <c r="R60" s="58">
        <v>3.4145174789281876E-3</v>
      </c>
      <c r="S60" s="61">
        <v>3.5240641799006413E-2</v>
      </c>
      <c r="T60" s="40"/>
      <c r="U60" s="40"/>
      <c r="V60" s="40"/>
      <c r="W60"/>
      <c r="X60"/>
      <c r="Y60"/>
    </row>
    <row r="61" spans="1:25" ht="14.5" x14ac:dyDescent="0.35">
      <c r="A61" s="2" t="s">
        <v>497</v>
      </c>
      <c r="B61" s="11">
        <v>26346.799999999999</v>
      </c>
      <c r="C61" s="52">
        <v>-0.54581818181818165</v>
      </c>
      <c r="D61" s="53">
        <v>4</v>
      </c>
      <c r="E61" s="54">
        <f t="shared" si="1"/>
        <v>4.565053631189242E-2</v>
      </c>
      <c r="F61" s="54">
        <f t="shared" si="2"/>
        <v>-3.4317947740542656E-2</v>
      </c>
      <c r="G61" s="54">
        <v>5.3997878500115165E-3</v>
      </c>
      <c r="H61" s="42">
        <f t="shared" si="3"/>
        <v>27430.42295189065</v>
      </c>
      <c r="I61" s="57">
        <f t="shared" si="4"/>
        <v>4.1129205516064617E-2</v>
      </c>
      <c r="J61" s="57">
        <f t="shared" si="0"/>
        <v>1.6916115463826802E-3</v>
      </c>
      <c r="K61" s="57">
        <f t="shared" si="5"/>
        <v>4.1129205516064617E-2</v>
      </c>
      <c r="Q61" s="58">
        <v>37</v>
      </c>
      <c r="R61" s="58">
        <v>3.0417168345787948E-3</v>
      </c>
      <c r="S61" s="61">
        <v>-2.6376496185448406E-2</v>
      </c>
      <c r="T61" s="40"/>
      <c r="U61" s="40"/>
      <c r="V61" s="40"/>
      <c r="W61"/>
      <c r="X61"/>
      <c r="Y61"/>
    </row>
    <row r="62" spans="1:25" ht="14.5" x14ac:dyDescent="0.35">
      <c r="A62" s="2" t="s">
        <v>498</v>
      </c>
      <c r="B62" s="11">
        <v>25947.5</v>
      </c>
      <c r="C62" s="52">
        <v>-0.56637656063742992</v>
      </c>
      <c r="D62" s="53">
        <v>4</v>
      </c>
      <c r="E62" s="54">
        <f t="shared" si="1"/>
        <v>4.5707662550868555E-2</v>
      </c>
      <c r="F62" s="54">
        <f t="shared" si="2"/>
        <v>-1.5155540710826336E-2</v>
      </c>
      <c r="G62" s="54">
        <v>6.0680640669493373E-3</v>
      </c>
      <c r="H62" s="42">
        <f t="shared" si="3"/>
        <v>26506.674070359099</v>
      </c>
      <c r="I62" s="57">
        <f t="shared" si="4"/>
        <v>2.1550209860645479E-2</v>
      </c>
      <c r="J62" s="57">
        <f t="shared" si="0"/>
        <v>4.6441154503786165E-4</v>
      </c>
      <c r="K62" s="57">
        <f t="shared" si="5"/>
        <v>2.1550209860645479E-2</v>
      </c>
      <c r="Q62" s="58">
        <v>38</v>
      </c>
      <c r="R62" s="58">
        <v>2.7642140296175802E-3</v>
      </c>
      <c r="S62" s="61">
        <v>9.3010547133412884E-3</v>
      </c>
      <c r="T62" s="40"/>
      <c r="U62" s="40"/>
      <c r="V62" s="40"/>
      <c r="W62"/>
      <c r="X62"/>
      <c r="Y62"/>
    </row>
    <row r="63" spans="1:25" ht="14.5" x14ac:dyDescent="0.35">
      <c r="A63" s="2" t="s">
        <v>499</v>
      </c>
      <c r="B63" s="11">
        <v>25270.3</v>
      </c>
      <c r="C63" s="52">
        <v>-0.52902587993385097</v>
      </c>
      <c r="D63" s="53">
        <v>4</v>
      </c>
      <c r="E63" s="54">
        <f t="shared" si="1"/>
        <v>4.5923867628359538E-2</v>
      </c>
      <c r="F63" s="54">
        <f t="shared" si="2"/>
        <v>-2.6098853454090017E-2</v>
      </c>
      <c r="G63" s="54">
        <v>6.7197109091116404E-3</v>
      </c>
      <c r="H63" s="42">
        <f t="shared" si="3"/>
        <v>26121.859698814176</v>
      </c>
      <c r="I63" s="57">
        <f t="shared" si="4"/>
        <v>3.3698044693342658E-2</v>
      </c>
      <c r="J63" s="57">
        <f t="shared" si="0"/>
        <v>1.1355582161545193E-3</v>
      </c>
      <c r="K63" s="57">
        <f t="shared" si="5"/>
        <v>3.3698044693342658E-2</v>
      </c>
      <c r="Q63" s="58">
        <v>39</v>
      </c>
      <c r="R63" s="58">
        <v>2.6097746931967938E-3</v>
      </c>
      <c r="S63" s="61">
        <v>-4.7534587473228793E-2</v>
      </c>
      <c r="T63" s="40"/>
      <c r="U63" s="40"/>
      <c r="V63" s="40"/>
      <c r="W63"/>
      <c r="X63"/>
      <c r="Y63"/>
    </row>
    <row r="64" spans="1:25" ht="14.5" x14ac:dyDescent="0.35">
      <c r="A64" s="2" t="s">
        <v>500</v>
      </c>
      <c r="B64" s="11">
        <v>24375.9</v>
      </c>
      <c r="C64" s="52">
        <v>-0.35761642743221705</v>
      </c>
      <c r="D64" s="53">
        <v>4</v>
      </c>
      <c r="E64" s="54">
        <f t="shared" si="1"/>
        <v>4.5531130261850183E-2</v>
      </c>
      <c r="F64" s="54">
        <f t="shared" si="2"/>
        <v>-3.5393327344748496E-2</v>
      </c>
      <c r="G64" s="54">
        <v>7.3212094552930415E-3</v>
      </c>
      <c r="H64" s="42">
        <f t="shared" si="3"/>
        <v>25455.309159298089</v>
      </c>
      <c r="I64" s="57">
        <f t="shared" si="4"/>
        <v>4.4281817668192253E-2</v>
      </c>
      <c r="J64" s="57">
        <f t="shared" si="0"/>
        <v>1.9608793759990236E-3</v>
      </c>
      <c r="K64" s="57">
        <f t="shared" si="5"/>
        <v>4.4281817668192253E-2</v>
      </c>
      <c r="Q64" s="58">
        <v>40</v>
      </c>
      <c r="R64" s="58">
        <v>2.5543629582833113E-3</v>
      </c>
      <c r="S64" s="61">
        <v>9.6813616815169014E-3</v>
      </c>
      <c r="T64" s="40"/>
      <c r="U64" s="40"/>
      <c r="V64" s="40"/>
      <c r="W64"/>
      <c r="X64"/>
      <c r="Y64"/>
    </row>
    <row r="65" spans="1:25" ht="14.5" x14ac:dyDescent="0.35">
      <c r="A65" s="2" t="s">
        <v>501</v>
      </c>
      <c r="B65" s="11">
        <v>23375.5</v>
      </c>
      <c r="C65" s="52">
        <v>0.48074060480582359</v>
      </c>
      <c r="D65" s="53">
        <v>5</v>
      </c>
      <c r="E65" s="54">
        <f t="shared" si="1"/>
        <v>4.3732559089763701E-2</v>
      </c>
      <c r="F65" s="54">
        <f t="shared" si="2"/>
        <v>-4.1040535939185892E-2</v>
      </c>
      <c r="G65" s="54">
        <v>7.4174220696910645E-3</v>
      </c>
      <c r="H65" s="42">
        <f t="shared" si="3"/>
        <v>24556.706338628581</v>
      </c>
      <c r="I65" s="57">
        <f t="shared" si="4"/>
        <v>5.0531810597787462E-2</v>
      </c>
      <c r="J65" s="57">
        <f t="shared" si="0"/>
        <v>2.5534638822906652E-3</v>
      </c>
      <c r="K65" s="57">
        <f t="shared" si="5"/>
        <v>5.0531810597787462E-2</v>
      </c>
      <c r="Q65" s="58">
        <v>41</v>
      </c>
      <c r="R65" s="58">
        <v>2.4950949285557494E-3</v>
      </c>
      <c r="S65" s="61">
        <v>6.9045493573775971E-2</v>
      </c>
      <c r="T65" s="40"/>
      <c r="U65" s="40"/>
      <c r="V65" s="40"/>
      <c r="W65"/>
      <c r="X65"/>
      <c r="Y65"/>
    </row>
    <row r="66" spans="1:25" ht="14.5" x14ac:dyDescent="0.35">
      <c r="A66" s="2" t="s">
        <v>502</v>
      </c>
      <c r="B66" s="11">
        <v>25267.4</v>
      </c>
      <c r="C66" s="52">
        <v>1.7721233766233766</v>
      </c>
      <c r="D66" s="53">
        <v>6</v>
      </c>
      <c r="E66" s="54">
        <f t="shared" si="1"/>
        <v>4.497637425831269E-2</v>
      </c>
      <c r="F66" s="54">
        <f t="shared" si="2"/>
        <v>8.0935167162199798E-2</v>
      </c>
      <c r="G66" s="54">
        <v>7.6118167698310726E-3</v>
      </c>
      <c r="H66" s="42">
        <f t="shared" si="3"/>
        <v>23553.430022903187</v>
      </c>
      <c r="I66" s="57">
        <f t="shared" si="4"/>
        <v>6.783325459274854E-2</v>
      </c>
      <c r="J66" s="57">
        <f t="shared" si="0"/>
        <v>4.6013504286446412E-3</v>
      </c>
      <c r="K66" s="57">
        <f t="shared" si="5"/>
        <v>-6.783325459274854E-2</v>
      </c>
      <c r="Q66" s="58">
        <v>42</v>
      </c>
      <c r="R66" s="58">
        <v>2.4869205383378397E-3</v>
      </c>
      <c r="S66" s="61">
        <v>3.1340035497788382E-2</v>
      </c>
      <c r="T66" s="40"/>
      <c r="U66" s="40"/>
      <c r="V66" s="40"/>
      <c r="W66"/>
      <c r="X66"/>
      <c r="Y66"/>
    </row>
    <row r="67" spans="1:25" ht="14.5" x14ac:dyDescent="0.35">
      <c r="A67" s="2" t="s">
        <v>503</v>
      </c>
      <c r="B67" s="11">
        <v>25417.5</v>
      </c>
      <c r="C67" s="52">
        <v>2.631926284584984</v>
      </c>
      <c r="D67" s="53">
        <v>6</v>
      </c>
      <c r="E67" s="54">
        <f t="shared" si="1"/>
        <v>4.1542580454283273E-2</v>
      </c>
      <c r="F67" s="54">
        <f t="shared" si="2"/>
        <v>5.9404608309520778E-3</v>
      </c>
      <c r="G67" s="54">
        <v>7.1761017888278527E-3</v>
      </c>
      <c r="H67" s="42">
        <f t="shared" si="3"/>
        <v>25448.72143433903</v>
      </c>
      <c r="I67" s="57">
        <f t="shared" si="4"/>
        <v>1.2283440282887638E-3</v>
      </c>
      <c r="J67" s="57">
        <f t="shared" si="0"/>
        <v>1.5088290518326674E-6</v>
      </c>
      <c r="K67" s="57">
        <f t="shared" si="5"/>
        <v>1.2283440282887638E-3</v>
      </c>
      <c r="Q67" s="58">
        <v>43</v>
      </c>
      <c r="R67" s="58">
        <v>3.3916960547382378E-3</v>
      </c>
      <c r="S67" s="61">
        <v>1.1424194984944683E-2</v>
      </c>
      <c r="T67" s="40"/>
      <c r="U67" s="40"/>
      <c r="V67" s="40"/>
      <c r="W67"/>
      <c r="X67"/>
      <c r="Y67"/>
    </row>
    <row r="68" spans="1:25" ht="14.5" x14ac:dyDescent="0.35">
      <c r="A68" s="2" t="s">
        <v>504</v>
      </c>
      <c r="B68" s="11">
        <v>25720.3</v>
      </c>
      <c r="C68" s="52">
        <v>3.3564328063241131</v>
      </c>
      <c r="D68" s="53">
        <v>4.5</v>
      </c>
      <c r="E68" s="54">
        <f t="shared" si="1"/>
        <v>3.2817017446167718E-2</v>
      </c>
      <c r="F68" s="54">
        <f t="shared" si="2"/>
        <v>1.1913052031080919E-2</v>
      </c>
      <c r="G68" s="54">
        <v>6.8254781576208012E-3</v>
      </c>
      <c r="H68" s="42">
        <f t="shared" si="3"/>
        <v>25590.986591071323</v>
      </c>
      <c r="I68" s="57">
        <f t="shared" si="4"/>
        <v>5.0276788734453307E-3</v>
      </c>
      <c r="J68" s="57">
        <f t="shared" ref="J68:J72" si="6">I68^2</f>
        <v>2.5277554854488508E-5</v>
      </c>
      <c r="K68" s="57">
        <f t="shared" si="5"/>
        <v>-5.0276788734453307E-3</v>
      </c>
      <c r="Q68" s="58">
        <v>44</v>
      </c>
      <c r="R68" s="58">
        <v>3.3948505713358307E-3</v>
      </c>
      <c r="S68" s="61">
        <v>2.754437594800116E-2</v>
      </c>
      <c r="T68" s="40"/>
      <c r="U68" s="40"/>
      <c r="V68" s="40"/>
      <c r="W68"/>
      <c r="X68"/>
      <c r="Y68"/>
    </row>
    <row r="69" spans="1:25" ht="14.5" x14ac:dyDescent="0.35">
      <c r="A69" s="2" t="s">
        <v>505</v>
      </c>
      <c r="B69" s="11">
        <v>25664</v>
      </c>
      <c r="C69" s="52">
        <v>3.7773871635610767</v>
      </c>
      <c r="D69" s="53">
        <v>4.5</v>
      </c>
      <c r="E69" s="54">
        <f>((1+D68%)/(1+C68%))-1</f>
        <v>1.1064305942318775E-2</v>
      </c>
      <c r="F69" s="54">
        <f t="shared" ref="F69:F72" si="7">(B69-B68)/B68</f>
        <v>-2.1889324774594103E-3</v>
      </c>
      <c r="G69" s="54">
        <v>6.8242344277231002E-3</v>
      </c>
      <c r="H69" s="42">
        <f t="shared" ref="H69:H72" si="8">B68*(1+G69)</f>
        <v>25895.821356751367</v>
      </c>
      <c r="I69" s="57">
        <f t="shared" ref="I69:I72" si="9">ABS((H69-B69)/B69)</f>
        <v>9.0329393996012586E-3</v>
      </c>
      <c r="J69" s="57">
        <f t="shared" si="6"/>
        <v>8.1593994196868741E-5</v>
      </c>
      <c r="K69" s="57">
        <f t="shared" ref="K69:K72" si="10">(H69-B69)/B69</f>
        <v>9.0329393996012586E-3</v>
      </c>
      <c r="Q69" s="58">
        <v>45</v>
      </c>
      <c r="R69" s="58">
        <v>3.3968808119505152E-3</v>
      </c>
      <c r="S69" s="61">
        <v>-4.8398714642020321E-2</v>
      </c>
      <c r="T69" s="40"/>
      <c r="U69" s="40"/>
      <c r="V69" s="40"/>
      <c r="W69"/>
      <c r="X69"/>
      <c r="Y69"/>
    </row>
    <row r="70" spans="1:25" ht="14.5" x14ac:dyDescent="0.35">
      <c r="A70" s="7" t="s">
        <v>506</v>
      </c>
      <c r="B70" s="62">
        <v>26773.3</v>
      </c>
      <c r="C70" s="63">
        <v>3.9331</v>
      </c>
      <c r="D70" s="63">
        <v>4.5</v>
      </c>
      <c r="E70" s="64">
        <f>((1+D69%)/(1+C69%))-1</f>
        <v>6.9631049324840877E-3</v>
      </c>
      <c r="F70" s="64">
        <f t="shared" si="7"/>
        <v>4.3223971321695732E-2</v>
      </c>
      <c r="G70" s="64" t="e">
        <f>E70*$R$17+$R$16</f>
        <v>#VALUE!</v>
      </c>
      <c r="H70" s="42" t="e">
        <f t="shared" si="8"/>
        <v>#VALUE!</v>
      </c>
      <c r="I70" s="65" t="e">
        <f>ABS((H70-B70)/B70)</f>
        <v>#VALUE!</v>
      </c>
      <c r="J70" s="65" t="e">
        <f t="shared" si="6"/>
        <v>#VALUE!</v>
      </c>
      <c r="K70" s="65" t="e">
        <f t="shared" si="10"/>
        <v>#VALUE!</v>
      </c>
      <c r="Q70" s="58">
        <v>46</v>
      </c>
      <c r="R70" s="58">
        <v>3.4086112087610039E-3</v>
      </c>
      <c r="S70" s="61">
        <v>6.144139588233748E-3</v>
      </c>
      <c r="T70" s="40"/>
      <c r="U70" s="40"/>
      <c r="V70" s="40"/>
      <c r="W70"/>
      <c r="X70"/>
      <c r="Y70"/>
    </row>
    <row r="71" spans="1:25" ht="14.5" x14ac:dyDescent="0.35">
      <c r="A71" s="7" t="s">
        <v>507</v>
      </c>
      <c r="B71" s="62">
        <v>26772.5</v>
      </c>
      <c r="C71" s="63">
        <v>3.9224000000000001</v>
      </c>
      <c r="D71" s="63">
        <v>4.5</v>
      </c>
      <c r="E71" s="64">
        <f t="shared" ref="E71:E72" si="11">((1+D70%)/(1+C70%))-1</f>
        <v>5.4544702313314986E-3</v>
      </c>
      <c r="F71" s="64">
        <f t="shared" si="7"/>
        <v>-2.9880515289458992E-5</v>
      </c>
      <c r="G71" s="64" t="e">
        <f>E71*$R$17+$R$16</f>
        <v>#VALUE!</v>
      </c>
      <c r="H71" s="42" t="e">
        <f t="shared" si="8"/>
        <v>#VALUE!</v>
      </c>
      <c r="I71" s="65" t="e">
        <f t="shared" si="9"/>
        <v>#VALUE!</v>
      </c>
      <c r="J71" s="65" t="e">
        <f t="shared" si="6"/>
        <v>#VALUE!</v>
      </c>
      <c r="K71" s="65" t="e">
        <f t="shared" si="10"/>
        <v>#VALUE!</v>
      </c>
      <c r="Q71" s="58">
        <v>47</v>
      </c>
      <c r="R71" s="58">
        <v>3.4306302088248086E-3</v>
      </c>
      <c r="S71" s="61">
        <v>-2.1125463583400617E-2</v>
      </c>
      <c r="T71" s="40"/>
      <c r="U71" s="40"/>
      <c r="V71" s="40"/>
      <c r="W71"/>
      <c r="X71"/>
      <c r="Y71"/>
    </row>
    <row r="72" spans="1:25" ht="14.5" x14ac:dyDescent="0.35">
      <c r="A72" s="7" t="s">
        <v>508</v>
      </c>
      <c r="B72" s="62">
        <v>27261</v>
      </c>
      <c r="C72" s="63">
        <v>3.7244999999999999</v>
      </c>
      <c r="D72" s="63">
        <v>4.5</v>
      </c>
      <c r="E72" s="64">
        <f t="shared" si="11"/>
        <v>5.5579932719029834E-3</v>
      </c>
      <c r="F72" s="64">
        <f t="shared" si="7"/>
        <v>1.8246334858530208E-2</v>
      </c>
      <c r="G72" s="64" t="e">
        <f>E72*$R$17+$R$16</f>
        <v>#VALUE!</v>
      </c>
      <c r="H72" s="42" t="e">
        <f t="shared" si="8"/>
        <v>#VALUE!</v>
      </c>
      <c r="I72" s="65" t="e">
        <f t="shared" si="9"/>
        <v>#VALUE!</v>
      </c>
      <c r="J72" s="65" t="e">
        <f t="shared" si="6"/>
        <v>#VALUE!</v>
      </c>
      <c r="K72" s="65" t="e">
        <f t="shared" si="10"/>
        <v>#VALUE!</v>
      </c>
      <c r="Q72" s="58">
        <v>48</v>
      </c>
      <c r="R72" s="58">
        <v>3.4468379175041017E-3</v>
      </c>
      <c r="S72" s="61">
        <v>-2.4870628928385166E-2</v>
      </c>
      <c r="T72" s="40"/>
      <c r="U72" s="40"/>
      <c r="V72" s="40"/>
      <c r="W72"/>
      <c r="X72"/>
      <c r="Y72"/>
    </row>
    <row r="73" spans="1:25" ht="14.5" x14ac:dyDescent="0.35">
      <c r="A73" s="79"/>
      <c r="B73" s="80"/>
      <c r="C73" s="81"/>
      <c r="D73" s="81"/>
      <c r="E73" s="82"/>
      <c r="F73" s="82"/>
      <c r="G73" s="82"/>
      <c r="H73" s="83"/>
      <c r="I73" s="84"/>
      <c r="J73" s="84"/>
      <c r="K73" s="84"/>
      <c r="Q73" s="58"/>
      <c r="R73" s="58"/>
      <c r="S73" s="61"/>
      <c r="T73" s="40"/>
      <c r="U73" s="40"/>
      <c r="V73" s="40"/>
      <c r="W73"/>
      <c r="X73"/>
      <c r="Y73"/>
    </row>
    <row r="74" spans="1:25" ht="14.5" x14ac:dyDescent="0.35">
      <c r="A74" s="79"/>
      <c r="B74" s="80"/>
      <c r="C74" s="81"/>
      <c r="D74" s="81"/>
      <c r="E74" s="82"/>
      <c r="F74" s="82"/>
      <c r="G74" s="82"/>
      <c r="H74" s="83"/>
      <c r="I74" s="84"/>
      <c r="J74" s="84"/>
      <c r="K74" s="84"/>
      <c r="Q74" s="58"/>
      <c r="R74" s="58"/>
      <c r="S74" s="61"/>
      <c r="T74" s="40"/>
      <c r="U74" s="40"/>
      <c r="V74" s="40"/>
      <c r="W74"/>
      <c r="X74"/>
      <c r="Y74"/>
    </row>
    <row r="75" spans="1:25" ht="14.5" x14ac:dyDescent="0.35">
      <c r="A75" s="79"/>
      <c r="B75" s="80"/>
      <c r="C75" s="81"/>
      <c r="D75" s="81"/>
      <c r="E75" s="82"/>
      <c r="F75" s="82"/>
      <c r="G75" s="82"/>
      <c r="H75" s="83"/>
      <c r="I75" s="84"/>
      <c r="J75" s="84"/>
      <c r="K75" s="84"/>
      <c r="Q75" s="58"/>
      <c r="R75" s="58"/>
      <c r="S75" s="61"/>
      <c r="T75" s="40"/>
      <c r="U75" s="40"/>
      <c r="V75" s="40"/>
      <c r="W75"/>
      <c r="X75"/>
      <c r="Y75"/>
    </row>
    <row r="76" spans="1:25" ht="14.5" x14ac:dyDescent="0.35">
      <c r="A76" s="79"/>
      <c r="B76" s="80"/>
      <c r="C76" s="81"/>
      <c r="D76" s="81"/>
      <c r="E76" s="82"/>
      <c r="F76" s="82"/>
      <c r="G76" s="82"/>
      <c r="H76" s="83"/>
      <c r="I76" s="84"/>
      <c r="J76" s="84"/>
      <c r="K76" s="84"/>
      <c r="Q76" s="58"/>
      <c r="R76" s="58"/>
      <c r="S76" s="61"/>
      <c r="T76" s="40"/>
      <c r="U76" s="40"/>
      <c r="V76" s="40"/>
      <c r="W76"/>
      <c r="X76"/>
      <c r="Y76"/>
    </row>
    <row r="77" spans="1:25" ht="14.5" x14ac:dyDescent="0.35">
      <c r="A77" s="79"/>
      <c r="B77" s="80"/>
      <c r="C77" s="81"/>
      <c r="D77" s="81"/>
      <c r="E77" s="82"/>
      <c r="F77" s="82"/>
      <c r="G77" s="82"/>
      <c r="H77" s="83"/>
      <c r="I77" s="84"/>
      <c r="J77" s="84"/>
      <c r="K77" s="84"/>
      <c r="Q77" s="58"/>
      <c r="R77" s="58"/>
      <c r="S77" s="61"/>
      <c r="T77" s="40"/>
      <c r="U77" s="40"/>
      <c r="V77" s="40"/>
      <c r="W77"/>
      <c r="X77"/>
      <c r="Y77"/>
    </row>
    <row r="78" spans="1:25" ht="14.5" x14ac:dyDescent="0.35">
      <c r="A78" s="79"/>
      <c r="B78" s="80"/>
      <c r="C78" s="81"/>
      <c r="D78" s="81"/>
      <c r="E78" s="82"/>
      <c r="F78" s="82"/>
      <c r="G78" s="82"/>
      <c r="H78" s="83"/>
      <c r="I78" s="84"/>
      <c r="J78" s="84"/>
      <c r="K78" s="84"/>
      <c r="Q78" s="58"/>
      <c r="R78" s="58"/>
      <c r="S78" s="61"/>
      <c r="T78" s="40"/>
      <c r="U78" s="40"/>
      <c r="V78" s="40"/>
      <c r="W78"/>
      <c r="X78"/>
      <c r="Y78"/>
    </row>
    <row r="79" spans="1:25" ht="14.5" x14ac:dyDescent="0.35">
      <c r="A79" s="79"/>
      <c r="B79" s="80"/>
      <c r="C79" s="81"/>
      <c r="D79" s="81"/>
      <c r="E79" s="82"/>
      <c r="F79" s="82"/>
      <c r="G79" s="82"/>
      <c r="H79" s="83"/>
      <c r="I79" s="84"/>
      <c r="J79" s="84"/>
      <c r="K79" s="84"/>
      <c r="Q79" s="58"/>
      <c r="R79" s="58"/>
      <c r="S79" s="61"/>
      <c r="T79" s="40"/>
      <c r="U79" s="40"/>
      <c r="V79" s="40"/>
      <c r="W79"/>
      <c r="X79"/>
      <c r="Y79"/>
    </row>
    <row r="80" spans="1:25" ht="14.5" x14ac:dyDescent="0.35">
      <c r="A80" s="79"/>
      <c r="B80" s="80"/>
      <c r="C80" s="81"/>
      <c r="D80" s="81"/>
      <c r="E80" s="82"/>
      <c r="F80" s="82"/>
      <c r="G80" s="82"/>
      <c r="H80" s="83"/>
      <c r="I80" s="84"/>
      <c r="J80" s="84"/>
      <c r="K80" s="84"/>
      <c r="Q80" s="58"/>
      <c r="R80" s="58"/>
      <c r="S80" s="61"/>
      <c r="T80" s="40"/>
      <c r="U80" s="40"/>
      <c r="V80" s="40"/>
      <c r="W80"/>
      <c r="X80"/>
      <c r="Y80"/>
    </row>
    <row r="81" spans="1:25" ht="14.5" x14ac:dyDescent="0.35">
      <c r="A81" s="79"/>
      <c r="B81" s="80"/>
      <c r="C81" s="81"/>
      <c r="D81" s="81"/>
      <c r="E81" s="82"/>
      <c r="F81" s="82"/>
      <c r="G81" s="82"/>
      <c r="H81" s="83"/>
      <c r="I81" s="84"/>
      <c r="J81" s="84"/>
      <c r="K81" s="84"/>
      <c r="Q81" s="58"/>
      <c r="R81" s="58"/>
      <c r="S81" s="61"/>
      <c r="T81" s="40"/>
      <c r="U81" s="40"/>
      <c r="V81" s="40"/>
      <c r="W81"/>
      <c r="X81"/>
      <c r="Y81"/>
    </row>
    <row r="82" spans="1:25" ht="14.5" x14ac:dyDescent="0.35">
      <c r="A82" s="79"/>
      <c r="B82" s="80"/>
      <c r="C82" s="81"/>
      <c r="D82" s="81"/>
      <c r="E82" s="82"/>
      <c r="F82" s="82"/>
      <c r="G82" s="82"/>
      <c r="H82" s="83"/>
      <c r="I82" s="84"/>
      <c r="J82" s="84"/>
      <c r="K82" s="84"/>
      <c r="Q82" s="58"/>
      <c r="R82" s="58"/>
      <c r="S82" s="61"/>
      <c r="T82" s="40"/>
      <c r="U82" s="40"/>
      <c r="V82" s="40"/>
      <c r="W82"/>
      <c r="X82"/>
      <c r="Y82"/>
    </row>
    <row r="83" spans="1:25" ht="14.5" x14ac:dyDescent="0.35">
      <c r="A83" s="79"/>
      <c r="B83" s="80"/>
      <c r="C83" s="81"/>
      <c r="D83" s="81"/>
      <c r="E83" s="82"/>
      <c r="F83" s="82"/>
      <c r="G83" s="82"/>
      <c r="H83" s="83"/>
      <c r="I83" s="84"/>
      <c r="J83" s="84"/>
      <c r="K83" s="84"/>
      <c r="Q83" s="58"/>
      <c r="R83" s="58"/>
      <c r="S83" s="61"/>
      <c r="T83" s="40"/>
      <c r="U83" s="40"/>
      <c r="V83" s="40"/>
      <c r="W83"/>
      <c r="X83"/>
      <c r="Y83"/>
    </row>
    <row r="84" spans="1:25" ht="14.5" x14ac:dyDescent="0.35">
      <c r="A84" s="79"/>
      <c r="B84" s="80"/>
      <c r="C84" s="81"/>
      <c r="D84" s="81"/>
      <c r="E84" s="82"/>
      <c r="F84" s="82"/>
      <c r="G84" s="82"/>
      <c r="H84" s="83"/>
      <c r="I84" s="84"/>
      <c r="J84" s="84"/>
      <c r="K84" s="84"/>
      <c r="Q84" s="58"/>
      <c r="R84" s="58"/>
      <c r="S84" s="61"/>
      <c r="T84" s="40"/>
      <c r="U84" s="40"/>
      <c r="V84" s="40"/>
      <c r="W84"/>
      <c r="X84"/>
      <c r="Y84"/>
    </row>
    <row r="85" spans="1:25" ht="14.5" x14ac:dyDescent="0.35">
      <c r="A85" s="79"/>
      <c r="B85" s="80"/>
      <c r="C85" s="81"/>
      <c r="D85" s="81"/>
      <c r="E85" s="82"/>
      <c r="F85" s="82"/>
      <c r="G85" s="82"/>
      <c r="H85" s="83"/>
      <c r="I85" s="84"/>
      <c r="J85" s="84"/>
      <c r="K85" s="84"/>
      <c r="Q85" s="58"/>
      <c r="R85" s="58"/>
      <c r="S85" s="61"/>
      <c r="T85" s="40"/>
      <c r="U85" s="40"/>
      <c r="V85" s="40"/>
      <c r="W85"/>
      <c r="X85"/>
      <c r="Y85"/>
    </row>
    <row r="86" spans="1:25" ht="14.5" x14ac:dyDescent="0.35">
      <c r="A86" s="79"/>
      <c r="B86" s="80"/>
      <c r="C86" s="81"/>
      <c r="D86" s="81"/>
      <c r="E86" s="82"/>
      <c r="F86" s="82"/>
      <c r="G86" s="82"/>
      <c r="H86" s="83"/>
      <c r="I86" s="84"/>
      <c r="J86" s="84"/>
      <c r="K86" s="84"/>
      <c r="Q86" s="58"/>
      <c r="R86" s="58"/>
      <c r="S86" s="61"/>
      <c r="T86" s="40"/>
      <c r="U86" s="40"/>
      <c r="V86" s="40"/>
      <c r="W86"/>
      <c r="X86"/>
      <c r="Y86"/>
    </row>
    <row r="87" spans="1:25" ht="14.5" x14ac:dyDescent="0.35">
      <c r="A87" s="79"/>
      <c r="B87" s="80"/>
      <c r="C87" s="81"/>
      <c r="D87" s="81"/>
      <c r="E87" s="82"/>
      <c r="F87" s="82"/>
      <c r="G87" s="82"/>
      <c r="H87" s="83"/>
      <c r="I87" s="84"/>
      <c r="J87" s="84"/>
      <c r="K87" s="84"/>
      <c r="Q87" s="58"/>
      <c r="R87" s="58"/>
      <c r="S87" s="61"/>
      <c r="T87" s="40"/>
      <c r="U87" s="40"/>
      <c r="V87" s="40"/>
      <c r="W87"/>
      <c r="X87"/>
      <c r="Y87"/>
    </row>
    <row r="88" spans="1:25" ht="14.5" x14ac:dyDescent="0.35">
      <c r="A88" s="79"/>
      <c r="B88" s="80"/>
      <c r="C88" s="81"/>
      <c r="D88" s="81"/>
      <c r="E88" s="82"/>
      <c r="F88" s="82"/>
      <c r="G88" s="82"/>
      <c r="H88" s="83"/>
      <c r="I88" s="84"/>
      <c r="J88" s="84"/>
      <c r="K88" s="84"/>
      <c r="Q88" s="58"/>
      <c r="R88" s="58"/>
      <c r="S88" s="61"/>
      <c r="T88" s="40"/>
      <c r="U88" s="40"/>
      <c r="V88" s="40"/>
      <c r="W88"/>
      <c r="X88"/>
      <c r="Y88"/>
    </row>
    <row r="89" spans="1:25" ht="14.5" x14ac:dyDescent="0.35">
      <c r="A89" s="79"/>
      <c r="B89" s="80"/>
      <c r="C89" s="81"/>
      <c r="D89" s="81"/>
      <c r="E89" s="82"/>
      <c r="F89" s="82"/>
      <c r="G89" s="82"/>
      <c r="H89" s="83"/>
      <c r="I89" s="84"/>
      <c r="J89" s="84"/>
      <c r="K89" s="84"/>
      <c r="Q89" s="58"/>
      <c r="R89" s="58"/>
      <c r="S89" s="61"/>
      <c r="T89" s="40"/>
      <c r="U89" s="40"/>
      <c r="V89" s="40"/>
      <c r="W89"/>
      <c r="X89"/>
      <c r="Y89"/>
    </row>
    <row r="90" spans="1:25" ht="14.5" x14ac:dyDescent="0.35">
      <c r="A90" s="79"/>
      <c r="B90" s="80"/>
      <c r="C90" s="81"/>
      <c r="D90" s="81"/>
      <c r="E90" s="82"/>
      <c r="F90" s="82"/>
      <c r="G90" s="82"/>
      <c r="H90" s="83"/>
      <c r="I90" s="84"/>
      <c r="J90" s="84"/>
      <c r="K90" s="84"/>
      <c r="Q90" s="58"/>
      <c r="R90" s="58"/>
      <c r="S90" s="61"/>
      <c r="T90" s="40"/>
      <c r="U90" s="40"/>
      <c r="V90" s="40"/>
      <c r="W90"/>
      <c r="X90"/>
      <c r="Y90"/>
    </row>
    <row r="91" spans="1:25" ht="14.5" x14ac:dyDescent="0.35">
      <c r="A91" s="79"/>
      <c r="B91" s="80"/>
      <c r="C91" s="81"/>
      <c r="D91" s="81"/>
      <c r="E91" s="82"/>
      <c r="F91" s="82"/>
      <c r="G91" s="82"/>
      <c r="H91" s="83"/>
      <c r="I91" s="84"/>
      <c r="J91" s="84"/>
      <c r="K91" s="84"/>
      <c r="Q91" s="58"/>
      <c r="R91" s="58"/>
      <c r="S91" s="61"/>
      <c r="T91" s="40"/>
      <c r="U91" s="40"/>
      <c r="V91" s="40"/>
      <c r="W91"/>
      <c r="X91"/>
      <c r="Y91"/>
    </row>
    <row r="92" spans="1:25" ht="14.5" x14ac:dyDescent="0.35">
      <c r="A92" s="79"/>
      <c r="B92" s="80"/>
      <c r="C92" s="81"/>
      <c r="D92" s="81"/>
      <c r="E92" s="82"/>
      <c r="F92" s="82"/>
      <c r="G92" s="82"/>
      <c r="H92" s="83"/>
      <c r="I92" s="84"/>
      <c r="J92" s="84"/>
      <c r="K92" s="84"/>
      <c r="Q92" s="58"/>
      <c r="R92" s="58"/>
      <c r="S92" s="61"/>
      <c r="T92" s="40"/>
      <c r="U92" s="40"/>
      <c r="V92" s="40"/>
      <c r="W92"/>
      <c r="X92"/>
      <c r="Y92"/>
    </row>
    <row r="93" spans="1:25" ht="14.5" x14ac:dyDescent="0.35">
      <c r="A93" s="79"/>
      <c r="B93" s="80"/>
      <c r="C93" s="81"/>
      <c r="D93" s="81"/>
      <c r="E93" s="82"/>
      <c r="F93" s="82"/>
      <c r="G93" s="82"/>
      <c r="H93" s="83"/>
      <c r="I93" s="84"/>
      <c r="J93" s="84"/>
      <c r="K93" s="84"/>
      <c r="Q93" s="58"/>
      <c r="R93" s="58"/>
      <c r="S93" s="61"/>
      <c r="T93" s="40"/>
      <c r="U93" s="40"/>
      <c r="V93" s="40"/>
      <c r="W93"/>
      <c r="X93"/>
      <c r="Y93"/>
    </row>
    <row r="94" spans="1:25" ht="14.5" x14ac:dyDescent="0.35">
      <c r="A94" s="79"/>
      <c r="B94" s="80"/>
      <c r="C94" s="81"/>
      <c r="D94" s="81"/>
      <c r="E94" s="82"/>
      <c r="F94" s="82"/>
      <c r="G94" s="82"/>
      <c r="H94" s="83"/>
      <c r="I94" s="84"/>
      <c r="J94" s="84"/>
      <c r="K94" s="84"/>
      <c r="Q94" s="58"/>
      <c r="R94" s="58"/>
      <c r="S94" s="61"/>
      <c r="T94" s="40"/>
      <c r="U94" s="40"/>
      <c r="V94" s="40"/>
      <c r="W94"/>
      <c r="X94"/>
      <c r="Y94"/>
    </row>
    <row r="95" spans="1:25" ht="14.5" x14ac:dyDescent="0.35">
      <c r="A95" s="79"/>
      <c r="B95" s="80"/>
      <c r="C95" s="81"/>
      <c r="D95" s="81"/>
      <c r="E95" s="82"/>
      <c r="F95" s="82"/>
      <c r="G95" s="82"/>
      <c r="H95" s="83"/>
      <c r="I95" s="84"/>
      <c r="J95" s="84"/>
      <c r="K95" s="84"/>
      <c r="Q95" s="58"/>
      <c r="R95" s="58"/>
      <c r="S95" s="61"/>
      <c r="T95" s="40"/>
      <c r="U95" s="40"/>
      <c r="V95" s="40"/>
      <c r="W95"/>
      <c r="X95"/>
      <c r="Y95"/>
    </row>
    <row r="96" spans="1:25" ht="14.5" x14ac:dyDescent="0.35">
      <c r="A96" s="79"/>
      <c r="B96" s="80"/>
      <c r="C96" s="81"/>
      <c r="D96" s="81"/>
      <c r="E96" s="82"/>
      <c r="F96" s="82"/>
      <c r="G96" s="82"/>
      <c r="H96" s="83"/>
      <c r="I96" s="84"/>
      <c r="J96" s="84"/>
      <c r="K96" s="84"/>
      <c r="Q96" s="58"/>
      <c r="R96" s="58"/>
      <c r="S96" s="61"/>
      <c r="T96" s="40"/>
      <c r="U96" s="40"/>
      <c r="V96" s="40"/>
      <c r="W96"/>
      <c r="X96"/>
      <c r="Y96"/>
    </row>
    <row r="97" spans="1:25" ht="14.5" x14ac:dyDescent="0.35">
      <c r="A97" s="79"/>
      <c r="B97" s="80"/>
      <c r="C97" s="81"/>
      <c r="D97" s="81"/>
      <c r="E97" s="82"/>
      <c r="F97" s="82"/>
      <c r="G97" s="82"/>
      <c r="H97" s="83"/>
      <c r="I97" s="84"/>
      <c r="J97" s="84"/>
      <c r="K97" s="84"/>
      <c r="Q97" s="58"/>
      <c r="R97" s="58"/>
      <c r="S97" s="61"/>
      <c r="T97" s="40"/>
      <c r="U97" s="40"/>
      <c r="V97" s="40"/>
      <c r="W97"/>
      <c r="X97"/>
      <c r="Y97"/>
    </row>
    <row r="98" spans="1:25" ht="14.5" x14ac:dyDescent="0.35">
      <c r="A98" s="79"/>
      <c r="B98" s="80"/>
      <c r="C98" s="81"/>
      <c r="D98" s="81"/>
      <c r="E98" s="82"/>
      <c r="F98" s="82"/>
      <c r="G98" s="82"/>
      <c r="H98" s="83"/>
      <c r="I98" s="84"/>
      <c r="J98" s="84"/>
      <c r="K98" s="84"/>
      <c r="Q98" s="58"/>
      <c r="R98" s="58"/>
      <c r="S98" s="61"/>
      <c r="T98" s="40"/>
      <c r="U98" s="40"/>
      <c r="V98" s="40"/>
      <c r="W98"/>
      <c r="X98"/>
      <c r="Y98"/>
    </row>
    <row r="99" spans="1:25" ht="14.5" x14ac:dyDescent="0.35">
      <c r="A99" s="79"/>
      <c r="B99" s="80"/>
      <c r="C99" s="81"/>
      <c r="D99" s="81"/>
      <c r="E99" s="82"/>
      <c r="F99" s="82"/>
      <c r="G99" s="82"/>
      <c r="H99" s="83"/>
      <c r="I99" s="84"/>
      <c r="J99" s="84"/>
      <c r="K99" s="84"/>
      <c r="Q99" s="58"/>
      <c r="R99" s="58"/>
      <c r="S99" s="61"/>
      <c r="T99" s="40"/>
      <c r="U99" s="40"/>
      <c r="V99" s="40"/>
      <c r="W99"/>
      <c r="X99"/>
      <c r="Y99"/>
    </row>
    <row r="100" spans="1:25" ht="14.5" x14ac:dyDescent="0.35">
      <c r="A100" s="79"/>
      <c r="B100" s="80"/>
      <c r="C100" s="81"/>
      <c r="D100" s="81"/>
      <c r="E100" s="82"/>
      <c r="F100" s="82"/>
      <c r="G100" s="82"/>
      <c r="H100" s="83"/>
      <c r="I100" s="84"/>
      <c r="J100" s="84"/>
      <c r="K100" s="84"/>
      <c r="Q100" s="58"/>
      <c r="R100" s="58"/>
      <c r="S100" s="61"/>
      <c r="T100" s="40"/>
      <c r="U100" s="40"/>
      <c r="V100" s="40"/>
      <c r="W100"/>
      <c r="X100"/>
      <c r="Y100"/>
    </row>
    <row r="101" spans="1:25" ht="14.5" x14ac:dyDescent="0.35">
      <c r="A101" s="79"/>
      <c r="B101" s="80"/>
      <c r="C101" s="81"/>
      <c r="D101" s="81"/>
      <c r="E101" s="82"/>
      <c r="F101" s="82"/>
      <c r="G101" s="82"/>
      <c r="H101" s="83"/>
      <c r="I101" s="84"/>
      <c r="J101" s="84"/>
      <c r="K101" s="84"/>
      <c r="Q101" s="58"/>
      <c r="R101" s="58"/>
      <c r="S101" s="61"/>
      <c r="T101" s="40"/>
      <c r="U101" s="40"/>
      <c r="V101" s="40"/>
      <c r="W101"/>
      <c r="X101"/>
      <c r="Y101"/>
    </row>
    <row r="102" spans="1:25" ht="14.5" x14ac:dyDescent="0.35">
      <c r="A102" s="79"/>
      <c r="B102" s="80"/>
      <c r="C102" s="81"/>
      <c r="D102" s="81"/>
      <c r="E102" s="82"/>
      <c r="F102" s="82"/>
      <c r="G102" s="82"/>
      <c r="H102" s="83"/>
      <c r="I102" s="84"/>
      <c r="J102" s="84"/>
      <c r="K102" s="84"/>
      <c r="Q102" s="58"/>
      <c r="R102" s="58"/>
      <c r="S102" s="61"/>
      <c r="T102" s="40"/>
      <c r="U102" s="40"/>
      <c r="V102" s="40"/>
      <c r="W102"/>
      <c r="X102"/>
      <c r="Y102"/>
    </row>
    <row r="103" spans="1:25" ht="14.5" x14ac:dyDescent="0.35">
      <c r="Q103" s="58">
        <v>49</v>
      </c>
      <c r="R103" s="58">
        <v>3.4729167718555373E-3</v>
      </c>
      <c r="S103" s="61">
        <v>1.4224226173108968E-2</v>
      </c>
      <c r="T103" s="40"/>
      <c r="U103" s="40"/>
      <c r="V103" s="40"/>
      <c r="W103"/>
      <c r="X103"/>
      <c r="Y103"/>
    </row>
    <row r="104" spans="1:25" ht="14.5" x14ac:dyDescent="0.35">
      <c r="Q104" s="58">
        <v>50</v>
      </c>
      <c r="R104" s="58">
        <v>3.4400849686642594E-3</v>
      </c>
      <c r="S104" s="61">
        <v>-4.8895660072298439E-2</v>
      </c>
      <c r="T104" s="40"/>
      <c r="U104" s="40"/>
      <c r="V104" s="40"/>
      <c r="W104"/>
      <c r="X104"/>
      <c r="Y104"/>
    </row>
    <row r="105" spans="1:25" ht="15" customHeight="1" x14ac:dyDescent="0.35">
      <c r="C105" s="68"/>
      <c r="D105" s="69"/>
      <c r="G105" s="70" t="s">
        <v>509</v>
      </c>
      <c r="H105" s="71" t="s">
        <v>510</v>
      </c>
      <c r="I105" s="70" t="str">
        <f>I1</f>
        <v>Absolute Forecast Error</v>
      </c>
      <c r="J105" s="70" t="str">
        <f t="shared" ref="J105:K105" si="12">J1</f>
        <v>Absolute Squared Error</v>
      </c>
      <c r="K105" s="70" t="str">
        <f t="shared" si="12"/>
        <v>Forecast Error</v>
      </c>
      <c r="Q105" s="58">
        <v>51</v>
      </c>
      <c r="R105" s="58">
        <v>4.0372577109140384E-3</v>
      </c>
      <c r="S105" s="61">
        <v>2.3304792804443836E-2</v>
      </c>
      <c r="T105" s="40"/>
      <c r="U105" s="40"/>
      <c r="V105" s="40"/>
      <c r="W105"/>
      <c r="X105"/>
      <c r="Y105"/>
    </row>
    <row r="106" spans="1:25" ht="14.5" x14ac:dyDescent="0.35">
      <c r="C106" s="68"/>
      <c r="D106" s="69"/>
      <c r="F106" s="7" t="s">
        <v>506</v>
      </c>
      <c r="G106" s="11">
        <v>26773.3</v>
      </c>
      <c r="H106" s="72" t="e">
        <f>H70</f>
        <v>#VALUE!</v>
      </c>
      <c r="I106" s="73">
        <v>1.7791314167192988E-2</v>
      </c>
      <c r="J106" s="74">
        <v>3.1653085979576191E-4</v>
      </c>
      <c r="K106" s="74">
        <v>-1.7791314167192988E-2</v>
      </c>
      <c r="Q106" s="58">
        <v>52</v>
      </c>
      <c r="R106" s="58">
        <v>4.0132228946493445E-3</v>
      </c>
      <c r="S106" s="61">
        <v>-1.2643942267533607E-3</v>
      </c>
      <c r="T106" s="40"/>
      <c r="U106" s="40"/>
      <c r="V106" s="40"/>
      <c r="W106"/>
      <c r="X106"/>
      <c r="Y106"/>
    </row>
    <row r="107" spans="1:25" ht="14.5" x14ac:dyDescent="0.35">
      <c r="C107" s="68"/>
      <c r="D107" s="69"/>
      <c r="E107" s="75">
        <f>B71</f>
        <v>26772.5</v>
      </c>
      <c r="F107" s="7" t="s">
        <v>507</v>
      </c>
      <c r="G107" s="76">
        <v>26772.5</v>
      </c>
      <c r="H107" s="72" t="e">
        <f>H71</f>
        <v>#VALUE!</v>
      </c>
      <c r="I107" s="73">
        <v>2.5237737877284432E-2</v>
      </c>
      <c r="J107" s="74">
        <v>6.3694341316251728E-4</v>
      </c>
      <c r="K107" s="74">
        <v>2.5237737877284432E-2</v>
      </c>
      <c r="Q107" s="58">
        <v>53</v>
      </c>
      <c r="R107" s="58">
        <v>7.6202366395831181E-3</v>
      </c>
      <c r="S107" s="61">
        <v>-7.0712101058601077E-3</v>
      </c>
      <c r="T107" s="40"/>
      <c r="U107" s="40"/>
      <c r="V107" s="40"/>
      <c r="W107"/>
      <c r="X107"/>
      <c r="Y107"/>
    </row>
    <row r="108" spans="1:25" ht="14.5" x14ac:dyDescent="0.35">
      <c r="F108" s="7" t="s">
        <v>508</v>
      </c>
      <c r="G108" s="11">
        <v>27261</v>
      </c>
      <c r="H108" s="72" t="e">
        <f>H72</f>
        <v>#VALUE!</v>
      </c>
      <c r="I108" s="73">
        <v>6.7994118092021714E-3</v>
      </c>
      <c r="J108" s="74">
        <v>4.6232000951117949E-5</v>
      </c>
      <c r="K108" s="74">
        <v>6.7994118092021714E-3</v>
      </c>
      <c r="Q108" s="58">
        <v>54</v>
      </c>
      <c r="R108" s="58">
        <v>9.8263202983521827E-3</v>
      </c>
      <c r="S108" s="61">
        <v>3.2502270206781987E-2</v>
      </c>
      <c r="T108" s="40"/>
      <c r="U108" s="40"/>
      <c r="V108" s="40"/>
      <c r="W108"/>
      <c r="X108"/>
      <c r="Y108"/>
    </row>
    <row r="109" spans="1:25" ht="14.5" x14ac:dyDescent="0.35">
      <c r="Q109" s="58">
        <v>55</v>
      </c>
      <c r="R109" s="58">
        <v>1.0987033266328085E-2</v>
      </c>
      <c r="S109" s="61">
        <v>2.6265161774811731E-2</v>
      </c>
      <c r="T109" s="40"/>
      <c r="U109" s="40"/>
      <c r="V109" s="40"/>
      <c r="W109"/>
      <c r="X109"/>
      <c r="Y109"/>
    </row>
    <row r="110" spans="1:25" ht="14.5" x14ac:dyDescent="0.35">
      <c r="H110" s="7" t="s">
        <v>511</v>
      </c>
      <c r="I110" s="43">
        <f>AVERAGE(I4:I69)</f>
        <v>3.641376790024551E-2</v>
      </c>
      <c r="K110" s="1"/>
      <c r="Q110" s="58">
        <v>56</v>
      </c>
      <c r="R110" s="58">
        <v>1.0794208643289619E-2</v>
      </c>
      <c r="S110" s="61">
        <v>-5.0339343761158423E-2</v>
      </c>
      <c r="T110" s="40"/>
      <c r="U110" s="40"/>
      <c r="V110" s="40"/>
      <c r="W110"/>
      <c r="X110"/>
      <c r="Y110"/>
    </row>
    <row r="111" spans="1:25" ht="14.5" x14ac:dyDescent="0.35">
      <c r="H111" s="7" t="s">
        <v>512</v>
      </c>
      <c r="I111" s="43">
        <f>P118</f>
        <v>2.2885640399125488E-3</v>
      </c>
      <c r="K111" s="1"/>
      <c r="Q111" s="58">
        <v>57</v>
      </c>
      <c r="R111" s="58">
        <v>1.0719419485073527E-2</v>
      </c>
      <c r="S111" s="61">
        <v>-2.5194874791019586E-3</v>
      </c>
      <c r="T111" s="40"/>
      <c r="U111" s="40"/>
      <c r="V111" s="40"/>
      <c r="W111"/>
      <c r="X111"/>
      <c r="Y111"/>
    </row>
    <row r="112" spans="1:25" ht="14.5" x14ac:dyDescent="0.35">
      <c r="H112" s="7" t="s">
        <v>513</v>
      </c>
      <c r="I112" s="43">
        <f>SQRT(I111)</f>
        <v>4.7838938532460656E-2</v>
      </c>
      <c r="K112" s="1"/>
      <c r="Q112" s="58">
        <v>58</v>
      </c>
      <c r="R112" s="58">
        <v>1.0727224648227316E-2</v>
      </c>
      <c r="S112" s="61">
        <v>-4.5045172388769969E-2</v>
      </c>
      <c r="T112" s="40"/>
      <c r="U112" s="40"/>
      <c r="V112" s="40"/>
      <c r="W112"/>
      <c r="X112"/>
      <c r="Y112"/>
    </row>
    <row r="113" spans="2:25" ht="14.5" x14ac:dyDescent="0.35">
      <c r="K113" s="1"/>
      <c r="Q113" s="58">
        <v>59</v>
      </c>
      <c r="R113" s="58">
        <v>1.0706645992509398E-2</v>
      </c>
      <c r="S113" s="61">
        <v>-2.5862186703335732E-2</v>
      </c>
      <c r="T113" s="40"/>
      <c r="U113" s="40"/>
      <c r="V113" s="40"/>
      <c r="W113"/>
      <c r="X113"/>
      <c r="Y113"/>
    </row>
    <row r="114" spans="2:25" ht="14.5" x14ac:dyDescent="0.35">
      <c r="K114" s="1"/>
      <c r="Q114" s="58">
        <v>60</v>
      </c>
      <c r="R114" s="58">
        <v>1.0628762170050664E-2</v>
      </c>
      <c r="S114" s="61">
        <v>-3.6727615624140682E-2</v>
      </c>
      <c r="T114" s="40"/>
      <c r="U114" s="40"/>
      <c r="V114" s="40"/>
      <c r="W114"/>
      <c r="X114"/>
      <c r="Y114"/>
    </row>
    <row r="115" spans="2:25" ht="14.5" x14ac:dyDescent="0.35">
      <c r="Q115" s="58">
        <v>61</v>
      </c>
      <c r="R115" s="58">
        <v>1.0770238437310859E-2</v>
      </c>
      <c r="S115" s="61">
        <v>-4.6163565782059351E-2</v>
      </c>
      <c r="T115" s="40"/>
      <c r="U115" s="40"/>
      <c r="V115" s="40"/>
      <c r="W115"/>
      <c r="X115"/>
      <c r="Y115"/>
    </row>
    <row r="116" spans="2:25" ht="14.5" x14ac:dyDescent="0.35">
      <c r="Q116" s="58">
        <v>62</v>
      </c>
      <c r="R116" s="58">
        <v>1.1418139955035503E-2</v>
      </c>
      <c r="S116" s="61">
        <v>-5.2458675894221395E-2</v>
      </c>
      <c r="T116" s="40"/>
      <c r="U116" s="40"/>
      <c r="V116" s="40"/>
      <c r="W116"/>
      <c r="X116"/>
      <c r="Y116"/>
    </row>
    <row r="117" spans="2:25" ht="14.5" x14ac:dyDescent="0.35">
      <c r="C117" s="66" t="s">
        <v>509</v>
      </c>
      <c r="D117" s="66" t="s">
        <v>510</v>
      </c>
      <c r="Q117" s="58">
        <v>63</v>
      </c>
      <c r="R117" s="58">
        <v>1.0970078878566145E-2</v>
      </c>
      <c r="S117" s="61">
        <v>6.9965088283633653E-2</v>
      </c>
      <c r="T117" s="40"/>
      <c r="U117" s="40"/>
      <c r="V117" s="40"/>
      <c r="W117"/>
      <c r="X117"/>
      <c r="Y117"/>
    </row>
    <row r="118" spans="2:25" ht="14.5" x14ac:dyDescent="0.35">
      <c r="B118" s="2" t="s">
        <v>439</v>
      </c>
      <c r="C118" s="11">
        <v>21843.8</v>
      </c>
      <c r="D118" s="77">
        <v>21473.88092189153</v>
      </c>
      <c r="K118" s="66" t="s">
        <v>511</v>
      </c>
      <c r="L118" s="1">
        <v>1.7368947779160496E-2</v>
      </c>
      <c r="P118" s="1">
        <f>AVERAGE(J4:J69)</f>
        <v>2.2885640399125488E-3</v>
      </c>
      <c r="Q118" s="58">
        <v>64</v>
      </c>
      <c r="R118" s="58">
        <v>1.2207038667376302E-2</v>
      </c>
      <c r="S118" s="61">
        <v>-6.2665778364242239E-3</v>
      </c>
      <c r="T118" s="40"/>
      <c r="U118" s="40"/>
      <c r="V118" s="40"/>
      <c r="W118"/>
      <c r="X118"/>
      <c r="Y118"/>
    </row>
    <row r="119" spans="2:25" ht="14.5" x14ac:dyDescent="0.35">
      <c r="B119" s="2" t="s">
        <v>440</v>
      </c>
      <c r="C119" s="11">
        <v>22949.4</v>
      </c>
      <c r="D119" s="77">
        <v>21917.170478863143</v>
      </c>
      <c r="K119" s="66" t="s">
        <v>512</v>
      </c>
      <c r="L119" s="1">
        <v>5.777329622463751E-4</v>
      </c>
      <c r="Q119" s="58">
        <v>65</v>
      </c>
      <c r="R119" s="58">
        <v>1.5350259021231851E-2</v>
      </c>
      <c r="S119" s="61">
        <v>-3.4372069901509317E-3</v>
      </c>
      <c r="T119" s="40"/>
      <c r="U119" s="40"/>
      <c r="V119" s="40"/>
      <c r="W119"/>
      <c r="X119"/>
      <c r="Y119"/>
    </row>
    <row r="120" spans="2:25" ht="14.5" x14ac:dyDescent="0.35">
      <c r="B120" s="2" t="s">
        <v>441</v>
      </c>
      <c r="C120" s="11">
        <v>23380</v>
      </c>
      <c r="D120" s="77">
        <v>23021.006337098126</v>
      </c>
      <c r="K120" s="66" t="s">
        <v>513</v>
      </c>
      <c r="L120" s="1">
        <v>2.4036076265613219E-2</v>
      </c>
      <c r="Q120" s="58">
        <v>66</v>
      </c>
      <c r="R120" s="58">
        <v>2.318626518918367E-2</v>
      </c>
      <c r="S120" s="61">
        <v>-2.537519766664308E-2</v>
      </c>
      <c r="T120" s="66"/>
      <c r="U120" s="66"/>
      <c r="V120" s="66"/>
    </row>
    <row r="121" spans="2:25" x14ac:dyDescent="0.3">
      <c r="B121" s="2" t="s">
        <v>442</v>
      </c>
      <c r="C121" s="11">
        <v>25412.7</v>
      </c>
      <c r="D121" s="77">
        <v>23428.684442600665</v>
      </c>
    </row>
    <row r="122" spans="2:25" x14ac:dyDescent="0.3">
      <c r="B122" s="2" t="s">
        <v>443</v>
      </c>
      <c r="C122" s="11">
        <v>26534.6</v>
      </c>
      <c r="D122" s="77">
        <v>25409.942129873194</v>
      </c>
    </row>
    <row r="123" spans="2:25" x14ac:dyDescent="0.3">
      <c r="B123" s="2" t="s">
        <v>444</v>
      </c>
      <c r="C123" s="11">
        <v>23429.200000000001</v>
      </c>
      <c r="D123" s="77">
        <v>26466.991057237257</v>
      </c>
    </row>
    <row r="124" spans="2:25" x14ac:dyDescent="0.3">
      <c r="B124" s="2" t="s">
        <v>445</v>
      </c>
      <c r="C124" s="11">
        <v>24441.200000000001</v>
      </c>
      <c r="D124" s="77">
        <v>23355.838727732516</v>
      </c>
    </row>
    <row r="125" spans="2:25" x14ac:dyDescent="0.3">
      <c r="B125" s="2" t="s">
        <v>446</v>
      </c>
      <c r="C125" s="11">
        <v>23564.7</v>
      </c>
      <c r="D125" s="77">
        <v>24375.313675321344</v>
      </c>
    </row>
    <row r="126" spans="2:25" x14ac:dyDescent="0.3">
      <c r="B126" s="2" t="s">
        <v>447</v>
      </c>
      <c r="C126" s="11">
        <v>24946.2</v>
      </c>
      <c r="D126" s="77">
        <v>23603.833299668353</v>
      </c>
    </row>
    <row r="127" spans="2:25" x14ac:dyDescent="0.3">
      <c r="B127" s="2" t="s">
        <v>448</v>
      </c>
      <c r="C127" s="11">
        <v>26113.1</v>
      </c>
      <c r="D127" s="77">
        <v>25053.725464883282</v>
      </c>
    </row>
    <row r="128" spans="2:25" x14ac:dyDescent="0.3">
      <c r="B128" s="2" t="s">
        <v>449</v>
      </c>
      <c r="C128" s="11">
        <v>26452.9</v>
      </c>
      <c r="D128" s="77">
        <v>26232.936129543144</v>
      </c>
    </row>
    <row r="129" spans="2:14" x14ac:dyDescent="0.3">
      <c r="B129" s="2" t="s">
        <v>450</v>
      </c>
      <c r="C129" s="11">
        <v>25793.5</v>
      </c>
      <c r="D129" s="77">
        <v>26545.483452552904</v>
      </c>
    </row>
    <row r="130" spans="2:14" x14ac:dyDescent="0.3">
      <c r="B130" s="2" t="s">
        <v>451</v>
      </c>
      <c r="C130" s="11">
        <v>23347.200000000001</v>
      </c>
      <c r="D130" s="77">
        <v>25862.874755181852</v>
      </c>
    </row>
    <row r="131" spans="2:14" x14ac:dyDescent="0.3">
      <c r="B131" s="2" t="s">
        <v>452</v>
      </c>
      <c r="C131" s="11">
        <v>26550.3</v>
      </c>
      <c r="D131" s="77">
        <v>23415.693163881409</v>
      </c>
    </row>
    <row r="132" spans="2:14" ht="14.5" x14ac:dyDescent="0.35">
      <c r="B132" s="2" t="s">
        <v>453</v>
      </c>
      <c r="C132" s="11">
        <v>26076.5</v>
      </c>
      <c r="D132" s="77">
        <v>26630.122972588339</v>
      </c>
      <c r="I132" s="40"/>
      <c r="J132" s="40"/>
      <c r="K132" s="40"/>
      <c r="L132"/>
      <c r="M132"/>
      <c r="N132"/>
    </row>
    <row r="133" spans="2:14" x14ac:dyDescent="0.3">
      <c r="B133" s="2" t="s">
        <v>454</v>
      </c>
      <c r="C133" s="11">
        <v>29574.400000000001</v>
      </c>
      <c r="D133" s="77">
        <v>26130.94981985577</v>
      </c>
    </row>
    <row r="134" spans="2:14" x14ac:dyDescent="0.3">
      <c r="B134" s="2" t="s">
        <v>455</v>
      </c>
      <c r="C134" s="11">
        <v>29747.7</v>
      </c>
      <c r="D134" s="77">
        <v>29618.991948220508</v>
      </c>
    </row>
    <row r="135" spans="2:14" x14ac:dyDescent="0.3">
      <c r="B135" s="2" t="s">
        <v>456</v>
      </c>
      <c r="C135" s="11">
        <v>27872.2</v>
      </c>
      <c r="D135" s="77">
        <v>29717.470327772597</v>
      </c>
    </row>
    <row r="136" spans="2:14" x14ac:dyDescent="0.3">
      <c r="B136" s="2" t="s">
        <v>457</v>
      </c>
      <c r="C136" s="11">
        <v>27216.2</v>
      </c>
      <c r="D136" s="77">
        <v>27831.253594090955</v>
      </c>
    </row>
    <row r="137" spans="2:14" x14ac:dyDescent="0.3">
      <c r="B137" s="2" t="s">
        <v>458</v>
      </c>
      <c r="C137" s="11">
        <v>27780.1</v>
      </c>
      <c r="D137" s="77">
        <v>27216.346461961657</v>
      </c>
    </row>
    <row r="138" spans="2:14" x14ac:dyDescent="0.3">
      <c r="B138" s="2" t="s">
        <v>459</v>
      </c>
      <c r="C138" s="11">
        <v>26429.9</v>
      </c>
      <c r="D138" s="77">
        <v>27820.873559083153</v>
      </c>
    </row>
    <row r="139" spans="2:14" x14ac:dyDescent="0.3">
      <c r="B139" s="2" t="s">
        <v>460</v>
      </c>
      <c r="C139" s="11">
        <v>26832.7</v>
      </c>
      <c r="D139" s="77">
        <v>26534.022361305389</v>
      </c>
    </row>
    <row r="140" spans="2:14" x14ac:dyDescent="0.3">
      <c r="B140" s="2" t="s">
        <v>461</v>
      </c>
      <c r="C140" s="11">
        <v>27472</v>
      </c>
      <c r="D140" s="77">
        <v>26944.560236411657</v>
      </c>
    </row>
    <row r="141" spans="2:14" x14ac:dyDescent="0.3">
      <c r="B141" s="2" t="s">
        <v>462</v>
      </c>
      <c r="C141" s="11">
        <v>26821.7</v>
      </c>
      <c r="D141" s="77">
        <v>27579.033408768708</v>
      </c>
    </row>
    <row r="142" spans="2:14" x14ac:dyDescent="0.3">
      <c r="B142" s="2" t="s">
        <v>463</v>
      </c>
      <c r="C142" s="11">
        <v>27537.9</v>
      </c>
      <c r="D142" s="77">
        <v>26922.721891690308</v>
      </c>
    </row>
    <row r="143" spans="2:14" x14ac:dyDescent="0.3">
      <c r="B143" s="2" t="s">
        <v>464</v>
      </c>
      <c r="C143" s="11">
        <v>28554</v>
      </c>
      <c r="D143" s="77">
        <v>27640.049424509773</v>
      </c>
    </row>
    <row r="144" spans="2:14" x14ac:dyDescent="0.3">
      <c r="B144" s="2" t="s">
        <v>465</v>
      </c>
      <c r="C144" s="11">
        <v>28967.599999999999</v>
      </c>
      <c r="D144" s="77">
        <v>28658.491857784615</v>
      </c>
    </row>
    <row r="145" spans="2:4" x14ac:dyDescent="0.3">
      <c r="B145" s="2" t="s">
        <v>466</v>
      </c>
      <c r="C145" s="11">
        <v>29020.3</v>
      </c>
      <c r="D145" s="77">
        <v>29073.009573042771</v>
      </c>
    </row>
    <row r="146" spans="2:4" x14ac:dyDescent="0.3">
      <c r="B146" s="2" t="s">
        <v>467</v>
      </c>
      <c r="C146" s="11">
        <v>29161.8</v>
      </c>
      <c r="D146" s="77">
        <v>29140.314142939329</v>
      </c>
    </row>
    <row r="147" spans="2:4" x14ac:dyDescent="0.3">
      <c r="B147" s="2" t="s">
        <v>468</v>
      </c>
      <c r="C147" s="11">
        <v>26746.1</v>
      </c>
      <c r="D147" s="77">
        <v>29275.995704045632</v>
      </c>
    </row>
    <row r="148" spans="2:4" x14ac:dyDescent="0.3">
      <c r="B148" s="2" t="s">
        <v>469</v>
      </c>
      <c r="C148" s="11">
        <v>25851.3</v>
      </c>
      <c r="D148" s="77">
        <v>26862.317298411297</v>
      </c>
    </row>
    <row r="149" spans="2:4" x14ac:dyDescent="0.3">
      <c r="B149" s="2" t="s">
        <v>470</v>
      </c>
      <c r="C149" s="11">
        <v>23091</v>
      </c>
      <c r="D149" s="77">
        <v>25975.870712011965</v>
      </c>
    </row>
    <row r="150" spans="2:4" x14ac:dyDescent="0.3">
      <c r="B150" s="2" t="s">
        <v>471</v>
      </c>
      <c r="C150" s="11">
        <v>24263.200000000001</v>
      </c>
      <c r="D150" s="77">
        <v>23211.019413131209</v>
      </c>
    </row>
    <row r="151" spans="2:4" x14ac:dyDescent="0.3">
      <c r="B151" s="2" t="s">
        <v>472</v>
      </c>
      <c r="C151" s="11">
        <v>25118.1</v>
      </c>
      <c r="D151" s="77">
        <v>24394.154098411265</v>
      </c>
    </row>
    <row r="152" spans="2:4" x14ac:dyDescent="0.3">
      <c r="B152" s="2" t="s">
        <v>473</v>
      </c>
      <c r="C152" s="11">
        <v>24413.3</v>
      </c>
      <c r="D152" s="77">
        <v>25260.21779595187</v>
      </c>
    </row>
    <row r="153" spans="2:4" x14ac:dyDescent="0.3">
      <c r="B153" s="2" t="s">
        <v>474</v>
      </c>
      <c r="C153" s="11">
        <v>25357</v>
      </c>
      <c r="D153" s="77">
        <v>24546.876040346677</v>
      </c>
    </row>
    <row r="154" spans="2:4" x14ac:dyDescent="0.3">
      <c r="B154" s="2" t="s">
        <v>475</v>
      </c>
      <c r="C154" s="11">
        <v>24765.3</v>
      </c>
      <c r="D154" s="77">
        <v>25482.547222748381</v>
      </c>
    </row>
    <row r="155" spans="2:4" x14ac:dyDescent="0.3">
      <c r="B155" s="2" t="s">
        <v>476</v>
      </c>
      <c r="C155" s="11">
        <v>25064.1</v>
      </c>
      <c r="D155" s="77">
        <v>24881.340620067273</v>
      </c>
    </row>
    <row r="156" spans="2:4" x14ac:dyDescent="0.3">
      <c r="B156" s="2" t="s">
        <v>477</v>
      </c>
      <c r="C156" s="11">
        <v>23938.1</v>
      </c>
      <c r="D156" s="77">
        <v>25176.587925836553</v>
      </c>
    </row>
    <row r="157" spans="2:4" x14ac:dyDescent="0.3">
      <c r="B157" s="2" t="s">
        <v>478</v>
      </c>
      <c r="C157" s="11">
        <v>24231</v>
      </c>
      <c r="D157" s="77">
        <v>24039.516398510128</v>
      </c>
    </row>
    <row r="158" spans="2:4" x14ac:dyDescent="0.3">
      <c r="B158" s="2" t="s">
        <v>479</v>
      </c>
      <c r="C158" s="11">
        <v>25964.5</v>
      </c>
      <c r="D158" s="77">
        <v>24338.16138797954</v>
      </c>
    </row>
    <row r="159" spans="2:4" x14ac:dyDescent="0.3">
      <c r="B159" s="2" t="s">
        <v>480</v>
      </c>
      <c r="C159" s="11">
        <v>26842.799999999999</v>
      </c>
      <c r="D159" s="77">
        <v>26097.579977588175</v>
      </c>
    </row>
    <row r="160" spans="2:4" x14ac:dyDescent="0.3">
      <c r="B160" s="2" t="s">
        <v>481</v>
      </c>
      <c r="C160" s="11">
        <v>27240.5</v>
      </c>
      <c r="D160" s="77">
        <v>26974.883857287597</v>
      </c>
    </row>
    <row r="161" spans="2:17" x14ac:dyDescent="0.3">
      <c r="B161" s="2" t="s">
        <v>482</v>
      </c>
      <c r="C161" s="11">
        <v>28083.3</v>
      </c>
      <c r="D161" s="77">
        <v>27379.516556783481</v>
      </c>
    </row>
    <row r="162" spans="2:17" x14ac:dyDescent="0.3">
      <c r="B162" s="2" t="s">
        <v>483</v>
      </c>
      <c r="C162" s="11">
        <v>26819.5</v>
      </c>
      <c r="D162" s="77">
        <v>28227.045292461502</v>
      </c>
    </row>
    <row r="163" spans="2:17" x14ac:dyDescent="0.3">
      <c r="B163" s="2" t="s">
        <v>484</v>
      </c>
      <c r="C163" s="11">
        <v>27075.7</v>
      </c>
      <c r="D163" s="77">
        <v>26942.982431399236</v>
      </c>
    </row>
    <row r="164" spans="2:17" x14ac:dyDescent="0.3">
      <c r="B164" s="2" t="s">
        <v>485</v>
      </c>
      <c r="C164" s="11">
        <v>26596.6</v>
      </c>
      <c r="D164" s="77">
        <v>27208.224202458903</v>
      </c>
    </row>
    <row r="165" spans="2:17" x14ac:dyDescent="0.3">
      <c r="B165" s="2" t="s">
        <v>486</v>
      </c>
      <c r="C165" s="11">
        <v>26026.799999999999</v>
      </c>
      <c r="D165" s="77">
        <v>26730.591456106333</v>
      </c>
    </row>
    <row r="166" spans="2:17" x14ac:dyDescent="0.3">
      <c r="B166" s="2" t="s">
        <v>487</v>
      </c>
      <c r="C166" s="11">
        <v>26487.4</v>
      </c>
      <c r="D166" s="77">
        <v>26159.63499741198</v>
      </c>
    </row>
    <row r="167" spans="2:17" x14ac:dyDescent="0.3">
      <c r="B167" s="2" t="s">
        <v>488</v>
      </c>
      <c r="C167" s="11">
        <v>25283.4</v>
      </c>
      <c r="D167" s="77">
        <v>26626.876616978385</v>
      </c>
    </row>
    <row r="168" spans="2:17" ht="14.5" thickBot="1" x14ac:dyDescent="0.35">
      <c r="B168" s="2" t="s">
        <v>489</v>
      </c>
      <c r="C168" s="11">
        <v>25974.7</v>
      </c>
      <c r="D168" s="77">
        <v>25413.494530838678</v>
      </c>
      <c r="O168" s="78"/>
      <c r="P168" s="78"/>
      <c r="Q168" s="78"/>
    </row>
    <row r="169" spans="2:17" x14ac:dyDescent="0.3">
      <c r="B169" s="2" t="s">
        <v>490</v>
      </c>
      <c r="C169" s="11">
        <v>26046.1</v>
      </c>
      <c r="D169" s="77">
        <v>26082.032338036508</v>
      </c>
    </row>
    <row r="170" spans="2:17" x14ac:dyDescent="0.3">
      <c r="B170" s="2" t="s">
        <v>491</v>
      </c>
      <c r="C170" s="11">
        <v>26060.400000000001</v>
      </c>
      <c r="D170" s="77">
        <v>26150.890000884399</v>
      </c>
    </row>
    <row r="171" spans="2:17" x14ac:dyDescent="0.3">
      <c r="B171" s="2" t="s">
        <v>492</v>
      </c>
      <c r="C171" s="11">
        <v>27163.5</v>
      </c>
      <c r="D171" s="77">
        <v>26178.011175241652</v>
      </c>
    </row>
    <row r="172" spans="2:17" x14ac:dyDescent="0.3">
      <c r="B172" s="2" t="s">
        <v>493</v>
      </c>
      <c r="C172" s="11">
        <v>28175.4</v>
      </c>
      <c r="D172" s="77">
        <v>27281.736229026163</v>
      </c>
    </row>
    <row r="173" spans="2:17" x14ac:dyDescent="0.3">
      <c r="B173" s="2" t="s">
        <v>494</v>
      </c>
      <c r="C173" s="11">
        <v>27061.200000000001</v>
      </c>
      <c r="D173" s="77">
        <v>28327.532780046316</v>
      </c>
    </row>
    <row r="174" spans="2:17" x14ac:dyDescent="0.3">
      <c r="B174" s="2" t="s">
        <v>495</v>
      </c>
      <c r="C174" s="11">
        <v>27283.1</v>
      </c>
      <c r="D174" s="77">
        <v>27213.690350687299</v>
      </c>
    </row>
    <row r="175" spans="2:17" x14ac:dyDescent="0.3">
      <c r="B175" s="2" t="s">
        <v>496</v>
      </c>
      <c r="C175" s="11">
        <v>26346.799999999999</v>
      </c>
      <c r="D175" s="77">
        <v>27430.42295189065</v>
      </c>
    </row>
    <row r="176" spans="2:17" x14ac:dyDescent="0.3">
      <c r="B176" s="2" t="s">
        <v>497</v>
      </c>
      <c r="C176" s="11">
        <v>25947.5</v>
      </c>
      <c r="D176" s="77">
        <v>26506.674070359099</v>
      </c>
    </row>
    <row r="177" spans="2:4" x14ac:dyDescent="0.3">
      <c r="B177" s="2" t="s">
        <v>498</v>
      </c>
      <c r="C177" s="11">
        <v>25270.3</v>
      </c>
      <c r="D177" s="77">
        <v>26121.859698814176</v>
      </c>
    </row>
    <row r="178" spans="2:4" x14ac:dyDescent="0.3">
      <c r="B178" s="2" t="s">
        <v>499</v>
      </c>
      <c r="C178" s="11">
        <v>24375.9</v>
      </c>
      <c r="D178" s="77">
        <v>25455.309159298089</v>
      </c>
    </row>
    <row r="179" spans="2:4" x14ac:dyDescent="0.3">
      <c r="B179" s="2" t="s">
        <v>500</v>
      </c>
      <c r="C179" s="11">
        <v>23375.5</v>
      </c>
      <c r="D179" s="77">
        <v>24556.706338628581</v>
      </c>
    </row>
    <row r="180" spans="2:4" x14ac:dyDescent="0.3">
      <c r="B180" s="2" t="s">
        <v>501</v>
      </c>
      <c r="C180" s="11">
        <v>25267.4</v>
      </c>
      <c r="D180" s="77">
        <v>23553.430022903187</v>
      </c>
    </row>
    <row r="181" spans="2:4" x14ac:dyDescent="0.3">
      <c r="B181" s="2" t="s">
        <v>502</v>
      </c>
      <c r="C181" s="11">
        <v>25417.5</v>
      </c>
      <c r="D181" s="77">
        <v>25448.72143433903</v>
      </c>
    </row>
    <row r="182" spans="2:4" x14ac:dyDescent="0.3">
      <c r="B182" s="2" t="s">
        <v>503</v>
      </c>
      <c r="C182" s="11">
        <v>25720.3</v>
      </c>
      <c r="D182" s="77">
        <v>25590.986591071323</v>
      </c>
    </row>
    <row r="183" spans="2:4" x14ac:dyDescent="0.3">
      <c r="B183" s="2" t="s">
        <v>504</v>
      </c>
      <c r="C183" s="11">
        <v>25664</v>
      </c>
      <c r="D183" s="77">
        <v>25895.821356751367</v>
      </c>
    </row>
    <row r="184" spans="2:4" x14ac:dyDescent="0.3">
      <c r="B184" s="2" t="s">
        <v>505</v>
      </c>
      <c r="C184" s="77">
        <v>25664</v>
      </c>
    </row>
  </sheetData>
  <mergeCells count="7">
    <mergeCell ref="K1:K2"/>
    <mergeCell ref="E1:E2"/>
    <mergeCell ref="F1:F2"/>
    <mergeCell ref="G1:G2"/>
    <mergeCell ref="H1:H2"/>
    <mergeCell ref="I1:I2"/>
    <mergeCell ref="J1:J2"/>
  </mergeCells>
  <conditionalFormatting sqref="A3:K102">
    <cfRule type="expression" dxfId="5" priority="6">
      <formula>MOD(ROW(),2)</formula>
    </cfRule>
  </conditionalFormatting>
  <conditionalFormatting sqref="B118:B184">
    <cfRule type="expression" dxfId="4" priority="5">
      <formula>MOD(ROW(),2)</formula>
    </cfRule>
  </conditionalFormatting>
  <conditionalFormatting sqref="C118:C183">
    <cfRule type="expression" dxfId="3" priority="4">
      <formula>MOD(ROW(),2)</formula>
    </cfRule>
  </conditionalFormatting>
  <conditionalFormatting sqref="F106:F108">
    <cfRule type="expression" dxfId="2" priority="2">
      <formula>MOD(ROW(),2)</formula>
    </cfRule>
  </conditionalFormatting>
  <conditionalFormatting sqref="G106 G108">
    <cfRule type="expression" dxfId="1" priority="3">
      <formula>MOD(ROW(),2)</formula>
    </cfRule>
  </conditionalFormatting>
  <conditionalFormatting sqref="H110:H112">
    <cfRule type="expression" dxfId="0" priority="1">
      <formula>MOD(ROW(),2)</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F4C63-882F-41DD-BBE9-DB01C9A3C9C8}">
  <dimension ref="A1:BC460"/>
  <sheetViews>
    <sheetView tabSelected="1" zoomScale="25" zoomScaleNormal="25" workbookViewId="0">
      <selection activeCell="J23" sqref="J23"/>
    </sheetView>
  </sheetViews>
  <sheetFormatPr defaultColWidth="8.7265625" defaultRowHeight="25" customHeight="1" x14ac:dyDescent="0.35"/>
  <cols>
    <col min="1" max="1" width="66.26953125" style="177" bestFit="1" customWidth="1"/>
    <col min="2" max="8" width="18.7265625" style="177" customWidth="1"/>
    <col min="9" max="9" width="26.54296875" style="177" bestFit="1" customWidth="1"/>
    <col min="10" max="11" width="25.54296875" style="177" bestFit="1" customWidth="1"/>
    <col min="12" max="12" width="30.54296875" style="177" bestFit="1" customWidth="1"/>
    <col min="13" max="15" width="26.1796875" style="177" bestFit="1" customWidth="1"/>
    <col min="16" max="25" width="26.1796875" style="177" customWidth="1"/>
    <col min="26" max="26" width="22.453125" style="138" bestFit="1" customWidth="1"/>
    <col min="27" max="27" width="19.26953125" style="138" bestFit="1" customWidth="1"/>
    <col min="28" max="28" width="98.453125" style="138" customWidth="1"/>
    <col min="29" max="29" width="8.7265625" style="138"/>
    <col min="30" max="30" width="62" style="138" customWidth="1"/>
    <col min="31" max="31" width="32.7265625" style="138" customWidth="1"/>
    <col min="32" max="35" width="11.453125" style="138" bestFit="1" customWidth="1"/>
    <col min="36" max="36" width="8.7265625" style="138" bestFit="1"/>
    <col min="37" max="37" width="22.1796875" style="138" bestFit="1" customWidth="1"/>
    <col min="38" max="39" width="21" style="138" bestFit="1" customWidth="1"/>
    <col min="40" max="40" width="21.7265625" style="138" bestFit="1" customWidth="1"/>
    <col min="41" max="41" width="22.81640625" style="138" bestFit="1" customWidth="1"/>
    <col min="42" max="42" width="21" style="138" bestFit="1" customWidth="1"/>
    <col min="43" max="44" width="15.81640625" style="138" bestFit="1" customWidth="1"/>
    <col min="45" max="46" width="15.453125" style="138" bestFit="1" customWidth="1"/>
    <col min="47" max="16384" width="8.7265625" style="138"/>
  </cols>
  <sheetData>
    <row r="1" spans="1:55" s="107" customFormat="1" ht="25" customHeight="1" x14ac:dyDescent="0.35">
      <c r="A1" s="243" t="s">
        <v>22</v>
      </c>
      <c r="B1" s="370" t="s">
        <v>23</v>
      </c>
      <c r="C1" s="371"/>
      <c r="D1" s="371"/>
      <c r="E1" s="371"/>
      <c r="F1" s="371"/>
      <c r="G1" s="372"/>
      <c r="H1" s="276"/>
      <c r="I1" s="370" t="s">
        <v>24</v>
      </c>
      <c r="J1" s="371"/>
      <c r="K1" s="371"/>
      <c r="L1" s="371"/>
      <c r="M1" s="371"/>
      <c r="N1" s="371"/>
      <c r="O1" s="372"/>
      <c r="AE1" s="108">
        <f>AE3/AE2</f>
        <v>2.4273205236868114E-2</v>
      </c>
      <c r="AF1" s="108">
        <f t="shared" ref="AF1:AI1" si="0">AF3/AF2</f>
        <v>9.7205902973719491E-2</v>
      </c>
      <c r="AG1" s="108">
        <f t="shared" si="0"/>
        <v>0.12549270757739675</v>
      </c>
      <c r="AH1" s="108">
        <f t="shared" si="0"/>
        <v>0.15525475439461456</v>
      </c>
      <c r="AI1" s="108">
        <f t="shared" si="0"/>
        <v>8.2279316115299872E-2</v>
      </c>
      <c r="AK1" s="109">
        <f>$AK$2*[1]FCFE!G3</f>
        <v>5865.2682173533403</v>
      </c>
      <c r="AL1" s="109">
        <f>$AK$2*[1]FCFE!H3</f>
        <v>5932.622348501417</v>
      </c>
      <c r="AM1" s="109">
        <f>$AK$2*[1]FCFE!I3</f>
        <v>6008.2019977690352</v>
      </c>
      <c r="AN1" s="109">
        <f>$AK$2*[1]FCFE!J3</f>
        <v>6092.1157178527865</v>
      </c>
      <c r="AO1" s="109">
        <f>$AK$2*[1]FCFE!K3</f>
        <v>6184.5243222377057</v>
      </c>
    </row>
    <row r="2" spans="1:55" s="111" customFormat="1" ht="25" customHeight="1" thickBot="1" x14ac:dyDescent="0.4">
      <c r="A2" s="110" t="s">
        <v>25</v>
      </c>
      <c r="B2" s="110">
        <v>2018</v>
      </c>
      <c r="C2" s="110">
        <v>2019</v>
      </c>
      <c r="D2" s="110">
        <v>2020</v>
      </c>
      <c r="E2" s="110">
        <v>2021</v>
      </c>
      <c r="F2" s="110">
        <v>2022</v>
      </c>
      <c r="G2" s="110">
        <v>2023</v>
      </c>
      <c r="H2" s="110">
        <v>2024</v>
      </c>
      <c r="I2" s="110">
        <v>2025</v>
      </c>
      <c r="J2" s="110">
        <v>2026</v>
      </c>
      <c r="K2" s="110">
        <v>2027</v>
      </c>
      <c r="L2" s="110">
        <v>2028</v>
      </c>
      <c r="M2" s="110">
        <v>2029</v>
      </c>
      <c r="N2" s="110">
        <v>2030</v>
      </c>
      <c r="O2" s="110">
        <v>2031</v>
      </c>
      <c r="P2" s="107"/>
      <c r="Q2" s="107"/>
      <c r="R2" s="107"/>
      <c r="S2" s="107"/>
      <c r="T2" s="107"/>
      <c r="U2" s="107"/>
      <c r="V2" s="107"/>
      <c r="W2" s="107"/>
      <c r="X2" s="107"/>
      <c r="Y2" s="107"/>
      <c r="AE2" s="112">
        <f>'[1]BS IS'!J26</f>
        <v>52561950</v>
      </c>
      <c r="AF2" s="112">
        <f>'[1]BS IS'!K26</f>
        <v>56318123</v>
      </c>
      <c r="AG2" s="112">
        <f>'[1]BS IS'!L26</f>
        <v>59636286</v>
      </c>
      <c r="AH2" s="112">
        <f>'[1]BS IS'!M26</f>
        <v>60919165</v>
      </c>
      <c r="AI2" s="112">
        <f>'[1]BS IS'!N26</f>
        <v>59956247</v>
      </c>
      <c r="AK2" s="113">
        <f>AVERAGE(AE1:AI1)</f>
        <v>9.6901177259579752E-2</v>
      </c>
    </row>
    <row r="3" spans="1:55" s="107" customFormat="1" ht="77.5" customHeight="1" x14ac:dyDescent="0.35">
      <c r="A3" s="376" t="s">
        <v>26</v>
      </c>
      <c r="B3" s="377"/>
      <c r="C3" s="377"/>
      <c r="D3" s="377"/>
      <c r="E3" s="377"/>
      <c r="F3" s="377"/>
      <c r="G3" s="377"/>
      <c r="H3" s="378"/>
      <c r="I3" s="114">
        <f>SUM(I15,I27,I39,I51)</f>
        <v>2052522297.2222204</v>
      </c>
      <c r="J3" s="114">
        <f t="shared" ref="J3:O3" si="1">SUM(J15,J27,J39,J51)</f>
        <v>2135875199.0548151</v>
      </c>
      <c r="K3" s="114">
        <f t="shared" si="1"/>
        <v>2224854605.3347411</v>
      </c>
      <c r="L3" s="114">
        <f t="shared" si="1"/>
        <v>2269448102.5150213</v>
      </c>
      <c r="M3" s="114">
        <f t="shared" si="1"/>
        <v>2322530428.3894358</v>
      </c>
      <c r="N3" s="114">
        <f t="shared" si="1"/>
        <v>2385408908.1817966</v>
      </c>
      <c r="O3" s="114">
        <f t="shared" si="1"/>
        <v>2459760271.2154751</v>
      </c>
      <c r="Z3" s="133">
        <f>O3/10</f>
        <v>245976027.12154752</v>
      </c>
      <c r="AD3" s="115" t="s">
        <v>27</v>
      </c>
      <c r="AE3" s="116">
        <v>1275847</v>
      </c>
      <c r="AF3" s="116">
        <v>5474454</v>
      </c>
      <c r="AG3" s="116">
        <v>7483919</v>
      </c>
      <c r="AH3" s="116">
        <v>9457990</v>
      </c>
      <c r="AI3" s="116">
        <v>4933159</v>
      </c>
      <c r="AK3" s="117">
        <f>AF1/AE1-1</f>
        <v>3.0046587183333857</v>
      </c>
      <c r="AL3" s="117">
        <f t="shared" ref="AL3:AO3" si="2">AG1/AF1-1</f>
        <v>0.29099883585593411</v>
      </c>
      <c r="AM3" s="117">
        <f t="shared" si="2"/>
        <v>0.23716156413999023</v>
      </c>
      <c r="AN3" s="117">
        <f t="shared" si="2"/>
        <v>-0.47003673777249577</v>
      </c>
      <c r="AO3" s="117">
        <f t="shared" si="2"/>
        <v>-1</v>
      </c>
      <c r="AP3" s="117">
        <f>AVERAGE(AK3:AO3)</f>
        <v>0.41255647611136281</v>
      </c>
    </row>
    <row r="4" spans="1:55" s="140" customFormat="1" ht="25" customHeight="1" x14ac:dyDescent="0.35">
      <c r="A4" s="373" t="s">
        <v>2</v>
      </c>
      <c r="B4" s="374"/>
      <c r="C4" s="374"/>
      <c r="D4" s="374"/>
      <c r="E4" s="374"/>
      <c r="F4" s="374"/>
      <c r="G4" s="374"/>
      <c r="H4" s="374"/>
      <c r="I4" s="374"/>
      <c r="J4" s="374"/>
      <c r="K4" s="374"/>
      <c r="L4" s="374"/>
      <c r="M4" s="374"/>
      <c r="N4" s="374"/>
      <c r="O4" s="375"/>
      <c r="P4" s="107"/>
      <c r="Q4" s="297" t="s">
        <v>7</v>
      </c>
      <c r="R4" s="297">
        <f>I2</f>
        <v>2025</v>
      </c>
      <c r="S4" s="297">
        <f t="shared" ref="S4:X4" si="3">J2</f>
        <v>2026</v>
      </c>
      <c r="T4" s="297">
        <f t="shared" si="3"/>
        <v>2027</v>
      </c>
      <c r="U4" s="297">
        <f t="shared" si="3"/>
        <v>2028</v>
      </c>
      <c r="V4" s="297">
        <f t="shared" si="3"/>
        <v>2029</v>
      </c>
      <c r="W4" s="297">
        <f t="shared" si="3"/>
        <v>2030</v>
      </c>
      <c r="X4" s="297">
        <f t="shared" si="3"/>
        <v>2031</v>
      </c>
      <c r="Y4" s="107"/>
      <c r="Z4" s="111"/>
      <c r="AA4" s="111"/>
      <c r="AB4" s="111"/>
      <c r="AC4" s="111"/>
      <c r="AD4" s="118" t="s">
        <v>28</v>
      </c>
      <c r="AE4" s="380" t="s">
        <v>29</v>
      </c>
      <c r="AF4" s="15">
        <v>2018</v>
      </c>
      <c r="AG4" s="15">
        <v>2019</v>
      </c>
      <c r="AH4" s="15">
        <v>2020</v>
      </c>
      <c r="AI4" s="15">
        <v>2021</v>
      </c>
      <c r="AJ4" s="15">
        <v>2022</v>
      </c>
      <c r="AK4" s="111"/>
      <c r="AL4" s="111"/>
      <c r="AM4" s="111"/>
      <c r="AN4" s="111"/>
      <c r="AO4" s="111"/>
      <c r="AP4" s="111"/>
      <c r="AQ4" s="111"/>
      <c r="AR4" s="111"/>
      <c r="AS4" s="111"/>
      <c r="AT4" s="111"/>
      <c r="AU4" s="111"/>
      <c r="AV4" s="111"/>
      <c r="AW4" s="111"/>
      <c r="AX4" s="111"/>
      <c r="AY4" s="111"/>
      <c r="AZ4" s="111"/>
      <c r="BA4" s="111"/>
      <c r="BB4" s="111"/>
      <c r="BC4" s="111"/>
    </row>
    <row r="5" spans="1:55" ht="25" customHeight="1" x14ac:dyDescent="0.35">
      <c r="A5" s="120" t="s">
        <v>7</v>
      </c>
      <c r="B5" s="120"/>
      <c r="C5" s="120"/>
      <c r="D5" s="120"/>
      <c r="E5" s="120"/>
      <c r="F5" s="120"/>
      <c r="G5" s="120"/>
      <c r="H5" s="121"/>
      <c r="I5" s="121">
        <f>'PHP Requirement'!C5</f>
        <v>402000</v>
      </c>
      <c r="J5" s="275">
        <f>I5*(1+J6)</f>
        <v>404683.89647670061</v>
      </c>
      <c r="K5" s="275">
        <f t="shared" ref="K5:O5" si="4">J5*(1+K6)</f>
        <v>407359.97142614005</v>
      </c>
      <c r="L5" s="275">
        <f t="shared" si="4"/>
        <v>410056.84147282649</v>
      </c>
      <c r="M5" s="275">
        <f t="shared" si="4"/>
        <v>412810.69608417701</v>
      </c>
      <c r="N5" s="275">
        <f t="shared" si="4"/>
        <v>415671.49356908299</v>
      </c>
      <c r="O5" s="275">
        <f t="shared" si="4"/>
        <v>418707.93311434309</v>
      </c>
      <c r="P5" s="107"/>
      <c r="Q5" s="313" t="s">
        <v>2</v>
      </c>
      <c r="R5" s="321">
        <v>402000</v>
      </c>
      <c r="S5" s="321">
        <v>418435.6079608858</v>
      </c>
      <c r="T5" s="321">
        <v>438210.88838744041</v>
      </c>
      <c r="U5" s="321">
        <v>462359.79535076686</v>
      </c>
      <c r="V5" s="321">
        <v>492668.89615189889</v>
      </c>
      <c r="W5" s="321">
        <v>531938.67084170762</v>
      </c>
      <c r="X5" s="321">
        <v>584850.16637756722</v>
      </c>
      <c r="Y5" s="107"/>
      <c r="Z5" s="133">
        <f>25%*I3</f>
        <v>513130574.30555511</v>
      </c>
      <c r="AA5" s="379" t="s">
        <v>30</v>
      </c>
      <c r="AB5" s="379"/>
      <c r="AC5" s="107"/>
      <c r="AD5" s="122">
        <f>AVERAGE(I8:L8)</f>
        <v>6.7953158151253384E-2</v>
      </c>
      <c r="AE5" s="380"/>
      <c r="AF5" s="123">
        <f>AF6/100</f>
        <v>0.10800000000000001</v>
      </c>
      <c r="AG5" s="123">
        <f>AG6/100</f>
        <v>0.11699999999999999</v>
      </c>
      <c r="AH5" s="123">
        <f>AH6/100</f>
        <v>8.199999999999999E-2</v>
      </c>
      <c r="AI5" s="123">
        <f>AI6/100</f>
        <v>5.5999999999999994E-2</v>
      </c>
      <c r="AJ5" s="123">
        <f>AJ6/100</f>
        <v>3.6000000000000004E-2</v>
      </c>
      <c r="AK5" s="107"/>
      <c r="AL5" s="107"/>
      <c r="AM5" s="107"/>
      <c r="AN5" s="107"/>
      <c r="AO5" s="107"/>
      <c r="AP5" s="107"/>
      <c r="AQ5" s="107"/>
      <c r="AR5" s="107"/>
      <c r="AS5" s="107"/>
      <c r="AT5" s="107"/>
      <c r="AU5" s="107"/>
      <c r="AV5" s="107"/>
      <c r="AW5" s="107"/>
      <c r="AX5" s="107"/>
      <c r="AY5" s="107"/>
      <c r="AZ5" s="107"/>
      <c r="BA5" s="107"/>
      <c r="BB5" s="107"/>
      <c r="BC5" s="107"/>
    </row>
    <row r="6" spans="1:55" ht="25" customHeight="1" x14ac:dyDescent="0.35">
      <c r="A6" s="124" t="s">
        <v>31</v>
      </c>
      <c r="B6" s="120"/>
      <c r="C6" s="120"/>
      <c r="D6" s="120"/>
      <c r="E6" s="120"/>
      <c r="F6" s="120"/>
      <c r="G6" s="120"/>
      <c r="H6" s="125">
        <v>15440.3</v>
      </c>
      <c r="I6" s="126">
        <f>(1+I8)*(1+I10)*(1-I11)-1</f>
        <v>5.6041196435412388E-2</v>
      </c>
      <c r="J6" s="126">
        <f>AVERAGE(J8,J10)-J11</f>
        <v>6.6763593947776062E-3</v>
      </c>
      <c r="K6" s="126">
        <f>AVERAGE(K8,K10)-K11</f>
        <v>6.6127537387529467E-3</v>
      </c>
      <c r="L6" s="126">
        <f t="shared" ref="L6:O6" si="5">AVERAGE(L8,L10)-L11</f>
        <v>6.6203609481924885E-3</v>
      </c>
      <c r="M6" s="126">
        <f t="shared" si="5"/>
        <v>6.7157875026772271E-3</v>
      </c>
      <c r="N6" s="126">
        <f t="shared" si="5"/>
        <v>6.9300469005353429E-3</v>
      </c>
      <c r="O6" s="126">
        <f t="shared" si="5"/>
        <v>7.3049020494243694E-3</v>
      </c>
      <c r="P6" s="107"/>
      <c r="Q6" s="299" t="s">
        <v>32</v>
      </c>
      <c r="R6" s="321">
        <f>I17</f>
        <v>1619000</v>
      </c>
      <c r="S6" s="321">
        <f t="shared" ref="S6:X6" si="6">J17</f>
        <v>1704915.2356958711</v>
      </c>
      <c r="T6" s="321">
        <f t="shared" si="6"/>
        <v>1791438.2926412192</v>
      </c>
      <c r="U6" s="321">
        <f t="shared" si="6"/>
        <v>1705048.9757592878</v>
      </c>
      <c r="V6" s="321">
        <f t="shared" si="6"/>
        <v>1627535.7920900953</v>
      </c>
      <c r="W6" s="321">
        <f t="shared" si="6"/>
        <v>1558482.7847850258</v>
      </c>
      <c r="X6" s="321">
        <f t="shared" si="6"/>
        <v>1497571.1540881163</v>
      </c>
      <c r="Y6" s="107"/>
      <c r="Z6" s="107"/>
      <c r="AA6" s="379"/>
      <c r="AB6" s="379"/>
      <c r="AC6" s="107"/>
      <c r="AD6" s="108" t="e">
        <f>_xlfn.RRI(4,H5,L5)</f>
        <v>#NUM!</v>
      </c>
      <c r="AE6" s="106">
        <f>AVERAGE(AF5:AJ5)</f>
        <v>7.980000000000001E-2</v>
      </c>
      <c r="AF6" s="128">
        <v>10.8</v>
      </c>
      <c r="AG6" s="128">
        <v>11.7</v>
      </c>
      <c r="AH6" s="128">
        <v>8.1999999999999993</v>
      </c>
      <c r="AI6" s="128">
        <v>5.6</v>
      </c>
      <c r="AJ6" s="128">
        <v>3.6</v>
      </c>
      <c r="AK6" s="129">
        <f>AK1-AI3/1000</f>
        <v>932.10921735334068</v>
      </c>
      <c r="AL6" s="129">
        <f>AL1-AK1</f>
        <v>67.354131148076704</v>
      </c>
      <c r="AM6" s="129">
        <f t="shared" ref="AM6:AO6" si="7">AM1-AL1</f>
        <v>75.579649267618151</v>
      </c>
      <c r="AN6" s="129">
        <f t="shared" si="7"/>
        <v>83.913720083751286</v>
      </c>
      <c r="AO6" s="129">
        <f t="shared" si="7"/>
        <v>92.408604384919272</v>
      </c>
      <c r="AP6" s="107"/>
      <c r="AQ6" s="107"/>
      <c r="AR6" s="107"/>
      <c r="AS6" s="107"/>
      <c r="AT6" s="107"/>
      <c r="AU6" s="107"/>
      <c r="AV6" s="107"/>
      <c r="AW6" s="107"/>
      <c r="AX6" s="107"/>
      <c r="AY6" s="107"/>
      <c r="AZ6" s="107"/>
      <c r="BA6" s="107"/>
      <c r="BB6" s="107"/>
      <c r="BC6" s="107"/>
    </row>
    <row r="7" spans="1:55" ht="25" customHeight="1" x14ac:dyDescent="0.35">
      <c r="A7" s="124" t="s">
        <v>33</v>
      </c>
      <c r="B7" s="274">
        <v>49131.1</v>
      </c>
      <c r="C7" s="274">
        <v>52871.1</v>
      </c>
      <c r="D7" s="274">
        <v>55244</v>
      </c>
      <c r="E7" s="274">
        <v>55292.2</v>
      </c>
      <c r="F7" s="274">
        <v>59077.4</v>
      </c>
      <c r="G7" s="274">
        <v>66105.899999999994</v>
      </c>
      <c r="H7" s="130"/>
      <c r="I7" s="130"/>
      <c r="J7" s="130"/>
      <c r="K7" s="130"/>
      <c r="L7" s="130"/>
      <c r="M7" s="127"/>
      <c r="N7" s="127"/>
      <c r="O7" s="127"/>
      <c r="P7" s="107"/>
      <c r="Q7" s="300" t="s">
        <v>34</v>
      </c>
      <c r="R7" s="321">
        <f>I29</f>
        <v>3718000</v>
      </c>
      <c r="S7" s="321">
        <f t="shared" ref="S7:X7" si="8">J29</f>
        <v>3759425.7699459959</v>
      </c>
      <c r="T7" s="321">
        <f t="shared" si="8"/>
        <v>3805499.6211325307</v>
      </c>
      <c r="U7" s="321">
        <f t="shared" si="8"/>
        <v>3856551.2106568674</v>
      </c>
      <c r="V7" s="321">
        <f t="shared" si="8"/>
        <v>3912944.896142656</v>
      </c>
      <c r="W7" s="321">
        <f t="shared" si="8"/>
        <v>3975083.9592435542</v>
      </c>
      <c r="X7" s="321">
        <f t="shared" si="8"/>
        <v>4043415.4254905563</v>
      </c>
      <c r="Y7" s="107"/>
      <c r="Z7" s="107"/>
      <c r="AA7" s="379"/>
      <c r="AB7" s="379"/>
      <c r="AC7" s="107"/>
      <c r="AD7" s="107" t="s">
        <v>35</v>
      </c>
      <c r="AE7" s="107" t="s">
        <v>36</v>
      </c>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row>
    <row r="8" spans="1:55" ht="25" customHeight="1" x14ac:dyDescent="0.35">
      <c r="A8" s="127" t="s">
        <v>37</v>
      </c>
      <c r="B8" s="124"/>
      <c r="C8" s="126">
        <f>C7/B7-1</f>
        <v>7.6122863115216211E-2</v>
      </c>
      <c r="D8" s="126">
        <f t="shared" ref="D8:G8" si="9">D7/C7-1</f>
        <v>4.4880851731853522E-2</v>
      </c>
      <c r="E8" s="126">
        <f>E7/D7-1</f>
        <v>8.7249294040980807E-4</v>
      </c>
      <c r="F8" s="126">
        <f t="shared" si="9"/>
        <v>6.8458118866675743E-2</v>
      </c>
      <c r="G8" s="126">
        <f t="shared" si="9"/>
        <v>0.11897104476500298</v>
      </c>
      <c r="H8" s="127">
        <f>AVERAGE($C$8:$G$8)</f>
        <v>6.1861074283831655E-2</v>
      </c>
      <c r="I8" s="127">
        <v>6.1899999999999997E-2</v>
      </c>
      <c r="J8" s="127">
        <f>I8*(1+$H$8)</f>
        <v>6.5729200498169174E-2</v>
      </c>
      <c r="K8" s="127">
        <f>J8*(1+I8)</f>
        <v>6.9797838009005853E-2</v>
      </c>
      <c r="L8" s="127">
        <f t="shared" ref="L8:O8" si="10">K8*(1+J8)</f>
        <v>7.4385594097838528E-2</v>
      </c>
      <c r="M8" s="127">
        <f t="shared" si="10"/>
        <v>7.9577547744883126E-2</v>
      </c>
      <c r="N8" s="127">
        <f t="shared" si="10"/>
        <v>8.5496970910735381E-2</v>
      </c>
      <c r="O8" s="127">
        <f t="shared" si="10"/>
        <v>9.2300610195427318E-2</v>
      </c>
      <c r="P8" s="107"/>
      <c r="Q8" s="300" t="s">
        <v>5</v>
      </c>
      <c r="R8" s="321">
        <f>I41</f>
        <v>1133000</v>
      </c>
      <c r="S8" s="321">
        <f t="shared" ref="S8:X8" si="11">J41</f>
        <v>1177571.6184087007</v>
      </c>
      <c r="T8" s="321">
        <f t="shared" si="11"/>
        <v>1231542.9371546488</v>
      </c>
      <c r="U8" s="321">
        <f t="shared" si="11"/>
        <v>1296697.0991489172</v>
      </c>
      <c r="V8" s="321">
        <f t="shared" si="11"/>
        <v>1375285.1470040227</v>
      </c>
      <c r="W8" s="321">
        <f t="shared" si="11"/>
        <v>1470172.0444348566</v>
      </c>
      <c r="X8" s="321">
        <f t="shared" si="11"/>
        <v>1585036.1289905501</v>
      </c>
      <c r="Y8" s="107"/>
      <c r="Z8" s="107"/>
      <c r="AA8" s="379"/>
      <c r="AB8" s="379"/>
      <c r="AC8" s="107"/>
      <c r="AD8" s="107" t="s">
        <v>38</v>
      </c>
      <c r="AE8" s="119" t="s">
        <v>39</v>
      </c>
      <c r="AF8" s="15">
        <v>2018</v>
      </c>
      <c r="AG8" s="15">
        <v>2019</v>
      </c>
      <c r="AH8" s="15">
        <v>2020</v>
      </c>
      <c r="AI8" s="15">
        <v>2021</v>
      </c>
      <c r="AJ8" s="15">
        <v>2022</v>
      </c>
      <c r="AK8" s="107"/>
      <c r="AL8" s="107"/>
      <c r="AM8" s="107"/>
      <c r="AN8" s="107"/>
      <c r="AO8" s="107"/>
      <c r="AP8" s="107"/>
      <c r="AQ8" s="107"/>
      <c r="AR8" s="107"/>
      <c r="AS8" s="107"/>
      <c r="AT8" s="107"/>
      <c r="AU8" s="107"/>
      <c r="AV8" s="107"/>
      <c r="AW8" s="107"/>
      <c r="AX8" s="107"/>
      <c r="AY8" s="107"/>
      <c r="AZ8" s="107"/>
      <c r="BA8" s="107"/>
      <c r="BB8" s="107"/>
      <c r="BC8" s="107"/>
    </row>
    <row r="9" spans="1:55" ht="25" customHeight="1" x14ac:dyDescent="0.35">
      <c r="A9" s="124" t="s">
        <v>40</v>
      </c>
      <c r="B9" s="124">
        <v>3.19</v>
      </c>
      <c r="C9" s="124">
        <v>3.15</v>
      </c>
      <c r="D9" s="124">
        <v>3.39</v>
      </c>
      <c r="E9" s="124">
        <v>3.4</v>
      </c>
      <c r="F9" s="124">
        <v>3.62</v>
      </c>
      <c r="G9" s="124">
        <v>3.89</v>
      </c>
      <c r="H9" s="127"/>
      <c r="I9" s="127"/>
      <c r="J9" s="127"/>
      <c r="K9" s="127"/>
      <c r="L9" s="127"/>
      <c r="M9" s="127"/>
      <c r="N9" s="127"/>
      <c r="O9" s="127"/>
      <c r="P9" s="107"/>
      <c r="Q9" s="297" t="s">
        <v>8</v>
      </c>
      <c r="R9" s="297">
        <f>R4</f>
        <v>2025</v>
      </c>
      <c r="S9" s="297">
        <f t="shared" ref="S9:X9" si="12">S4</f>
        <v>2026</v>
      </c>
      <c r="T9" s="297">
        <f t="shared" si="12"/>
        <v>2027</v>
      </c>
      <c r="U9" s="297">
        <f t="shared" si="12"/>
        <v>2028</v>
      </c>
      <c r="V9" s="297">
        <f t="shared" si="12"/>
        <v>2029</v>
      </c>
      <c r="W9" s="297">
        <f t="shared" si="12"/>
        <v>2030</v>
      </c>
      <c r="X9" s="297">
        <f t="shared" si="12"/>
        <v>2031</v>
      </c>
      <c r="Y9" s="107"/>
      <c r="Z9" s="107"/>
      <c r="AA9" s="379"/>
      <c r="AB9" s="379"/>
      <c r="AC9" s="107"/>
      <c r="AD9" s="107"/>
      <c r="AE9" s="106" t="e">
        <f>AVERAGE(#REF!)</f>
        <v>#REF!</v>
      </c>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row>
    <row r="10" spans="1:55" s="140" customFormat="1" ht="25" customHeight="1" x14ac:dyDescent="0.35">
      <c r="A10" s="127">
        <f>AVERAGE(C10:G10)</f>
        <v>4.1178532291386016E-2</v>
      </c>
      <c r="B10" s="124"/>
      <c r="C10" s="126">
        <f>C9/B9-1</f>
        <v>-1.2539184952978122E-2</v>
      </c>
      <c r="D10" s="126">
        <f t="shared" ref="D10" si="13">D9/C9-1</f>
        <v>7.6190476190476364E-2</v>
      </c>
      <c r="E10" s="126">
        <f>E9/D9-1</f>
        <v>2.9498525073745618E-3</v>
      </c>
      <c r="F10" s="126">
        <f t="shared" ref="F10:G10" si="14">F9/E9-1</f>
        <v>6.4705882352941169E-2</v>
      </c>
      <c r="G10" s="126">
        <f t="shared" si="14"/>
        <v>7.4585635359116109E-2</v>
      </c>
      <c r="H10" s="127">
        <f>AVERAGE($C$10:$G$10)</f>
        <v>4.1178532291386016E-2</v>
      </c>
      <c r="I10" s="127">
        <f t="shared" ref="I10:O10" si="15">AVERAGE($C$10:$G$10)</f>
        <v>4.1178532291386016E-2</v>
      </c>
      <c r="J10" s="127">
        <f t="shared" si="15"/>
        <v>4.1178532291386016E-2</v>
      </c>
      <c r="K10" s="127">
        <f t="shared" si="15"/>
        <v>4.1178532291386016E-2</v>
      </c>
      <c r="L10" s="127">
        <f t="shared" si="15"/>
        <v>4.1178532291386016E-2</v>
      </c>
      <c r="M10" s="127">
        <f t="shared" si="15"/>
        <v>4.1178532291386016E-2</v>
      </c>
      <c r="N10" s="127">
        <f t="shared" si="15"/>
        <v>4.1178532291386016E-2</v>
      </c>
      <c r="O10" s="127">
        <f t="shared" si="15"/>
        <v>4.1178532291386016E-2</v>
      </c>
      <c r="P10" s="107"/>
      <c r="Q10" s="313" t="s">
        <v>2</v>
      </c>
      <c r="R10" s="320">
        <f>I12</f>
        <v>640.0737777777772</v>
      </c>
      <c r="S10" s="320">
        <f t="shared" ref="S10:X10" si="16">J12</f>
        <v>650.10241289589828</v>
      </c>
      <c r="T10" s="320">
        <f t="shared" si="16"/>
        <v>660.02802954699143</v>
      </c>
      <c r="U10" s="320">
        <f t="shared" si="16"/>
        <v>669.84781556558801</v>
      </c>
      <c r="V10" s="320">
        <f t="shared" si="16"/>
        <v>679.55916800685156</v>
      </c>
      <c r="W10" s="320">
        <f t="shared" si="16"/>
        <v>689.15968833245142</v>
      </c>
      <c r="X10" s="320">
        <f t="shared" si="16"/>
        <v>698.64717735887064</v>
      </c>
      <c r="Y10" s="107"/>
      <c r="Z10" s="111"/>
      <c r="AA10" s="379"/>
      <c r="AB10" s="379"/>
      <c r="AC10" s="111"/>
      <c r="AD10" s="111"/>
      <c r="AE10" s="111"/>
      <c r="AF10" s="111"/>
      <c r="AG10" s="111"/>
      <c r="AH10" s="111"/>
      <c r="AI10" s="111"/>
      <c r="AJ10" s="111"/>
      <c r="AK10" s="111"/>
      <c r="AL10" s="111">
        <v>66</v>
      </c>
      <c r="AM10" s="111">
        <v>4867</v>
      </c>
      <c r="AN10" s="111"/>
      <c r="AO10" s="111"/>
      <c r="AP10" s="111"/>
      <c r="AQ10" s="111"/>
      <c r="AR10" s="111"/>
      <c r="AS10" s="111"/>
      <c r="AT10" s="111"/>
      <c r="AU10" s="111"/>
      <c r="AV10" s="111"/>
      <c r="AW10" s="111"/>
      <c r="AX10" s="111"/>
      <c r="AY10" s="111"/>
      <c r="AZ10" s="111"/>
      <c r="BA10" s="111"/>
      <c r="BB10" s="111"/>
      <c r="BC10" s="111"/>
    </row>
    <row r="11" spans="1:55" s="141" customFormat="1" ht="25" customHeight="1" x14ac:dyDescent="0.35">
      <c r="A11" s="127" t="s">
        <v>41</v>
      </c>
      <c r="B11" s="127">
        <v>4.2999999999999997E-2</v>
      </c>
      <c r="C11" s="127">
        <v>4.2999999999999997E-2</v>
      </c>
      <c r="D11" s="127">
        <v>4.2999999999999997E-2</v>
      </c>
      <c r="E11" s="127">
        <v>4.2999999999999997E-2</v>
      </c>
      <c r="F11" s="127">
        <v>4.2999999999999997E-2</v>
      </c>
      <c r="G11" s="127">
        <v>4.2999999999999997E-2</v>
      </c>
      <c r="H11" s="127">
        <v>4.2999999999999997E-2</v>
      </c>
      <c r="I11" s="127">
        <f>H11*(1+G11)</f>
        <v>4.4848999999999993E-2</v>
      </c>
      <c r="J11" s="127">
        <f t="shared" ref="J11:O11" si="17">I11*(1+H11)</f>
        <v>4.6777506999999989E-2</v>
      </c>
      <c r="K11" s="127">
        <f t="shared" si="17"/>
        <v>4.8875431411442988E-2</v>
      </c>
      <c r="L11" s="127">
        <f t="shared" si="17"/>
        <v>5.1161702246419784E-2</v>
      </c>
      <c r="M11" s="127">
        <f t="shared" si="17"/>
        <v>5.3662252515457344E-2</v>
      </c>
      <c r="N11" s="127">
        <f t="shared" si="17"/>
        <v>5.6407704700525356E-2</v>
      </c>
      <c r="O11" s="127">
        <f t="shared" si="17"/>
        <v>5.9434669193982298E-2</v>
      </c>
      <c r="P11" s="107"/>
      <c r="Q11" s="299" t="s">
        <v>32</v>
      </c>
      <c r="R11" s="320">
        <f>I24</f>
        <v>280.03227777777755</v>
      </c>
      <c r="S11" s="320">
        <f t="shared" ref="S11:X11" si="18">J24</f>
        <v>284.41980564195552</v>
      </c>
      <c r="T11" s="320">
        <f t="shared" si="18"/>
        <v>288.76226292680877</v>
      </c>
      <c r="U11" s="320">
        <f t="shared" si="18"/>
        <v>293.05841930994478</v>
      </c>
      <c r="V11" s="320">
        <f t="shared" si="18"/>
        <v>297.30713600299759</v>
      </c>
      <c r="W11" s="320">
        <f t="shared" si="18"/>
        <v>301.50736364544753</v>
      </c>
      <c r="X11" s="320">
        <f t="shared" si="18"/>
        <v>305.65814009450594</v>
      </c>
      <c r="Y11" s="107"/>
      <c r="Z11" s="239"/>
      <c r="AA11" s="239"/>
      <c r="AB11" s="239"/>
      <c r="AC11" s="109"/>
      <c r="AD11" s="109"/>
      <c r="AE11" s="131" t="s">
        <v>42</v>
      </c>
      <c r="AF11" s="109"/>
      <c r="AG11" s="109"/>
      <c r="AH11" s="109"/>
      <c r="AI11" s="109"/>
      <c r="AJ11" s="109"/>
      <c r="AK11" s="109"/>
      <c r="AL11" s="109" t="s">
        <v>11</v>
      </c>
      <c r="AM11" s="108">
        <f>AL10/SUM(AL10:AM10)</f>
        <v>1.3379282383944861E-2</v>
      </c>
      <c r="AN11" s="109"/>
      <c r="AO11" s="109"/>
      <c r="AP11" s="109"/>
      <c r="AQ11" s="109"/>
      <c r="AR11" s="109"/>
      <c r="AS11" s="109"/>
      <c r="AT11" s="109"/>
      <c r="AU11" s="109"/>
      <c r="AV11" s="109"/>
      <c r="AW11" s="109"/>
      <c r="AX11" s="109"/>
      <c r="AY11" s="109"/>
      <c r="AZ11" s="109"/>
      <c r="BA11" s="109"/>
      <c r="BB11" s="109"/>
      <c r="BC11" s="109"/>
    </row>
    <row r="12" spans="1:55" ht="25" customHeight="1" x14ac:dyDescent="0.35">
      <c r="A12" s="120" t="s">
        <v>8</v>
      </c>
      <c r="B12" s="120"/>
      <c r="C12" s="120"/>
      <c r="D12" s="120"/>
      <c r="E12" s="120"/>
      <c r="F12" s="120"/>
      <c r="G12" s="120"/>
      <c r="H12" s="121"/>
      <c r="I12" s="121">
        <f>'PHP Requirement'!C6</f>
        <v>640.0737777777772</v>
      </c>
      <c r="J12" s="275">
        <f>I12*(1+J13/2)</f>
        <v>650.10241289589828</v>
      </c>
      <c r="K12" s="275">
        <f t="shared" ref="K12:O12" si="19">J12*(1+K13/2)</f>
        <v>660.02802954699143</v>
      </c>
      <c r="L12" s="275">
        <f t="shared" si="19"/>
        <v>669.84781556558801</v>
      </c>
      <c r="M12" s="275">
        <f t="shared" si="19"/>
        <v>679.55916800685156</v>
      </c>
      <c r="N12" s="275">
        <f t="shared" si="19"/>
        <v>689.15968833245142</v>
      </c>
      <c r="O12" s="275">
        <f t="shared" si="19"/>
        <v>698.64717735887064</v>
      </c>
      <c r="P12" s="107"/>
      <c r="Q12" s="300" t="s">
        <v>34</v>
      </c>
      <c r="R12" s="320">
        <f>I36</f>
        <v>268.6023888888887</v>
      </c>
      <c r="S12" s="320">
        <f t="shared" ref="S12:X12" si="20">J36</f>
        <v>272.81083398310022</v>
      </c>
      <c r="T12" s="320">
        <f t="shared" si="20"/>
        <v>276.97604811346969</v>
      </c>
      <c r="U12" s="320">
        <f t="shared" si="20"/>
        <v>281.09685117484503</v>
      </c>
      <c r="V12" s="320">
        <f t="shared" si="20"/>
        <v>285.17215086001812</v>
      </c>
      <c r="W12" s="320">
        <f t="shared" si="20"/>
        <v>289.20094063951092</v>
      </c>
      <c r="X12" s="320">
        <f t="shared" si="20"/>
        <v>293.18229764166898</v>
      </c>
      <c r="Y12" s="107"/>
      <c r="Z12" s="107"/>
      <c r="AA12" s="107"/>
      <c r="AB12" s="107"/>
      <c r="AC12" s="107"/>
      <c r="AD12" s="107"/>
      <c r="AE12" s="106" t="e">
        <f>AVERAGE(#REF!)</f>
        <v>#REF!</v>
      </c>
      <c r="AF12" s="132" t="s">
        <v>43</v>
      </c>
      <c r="AG12" s="107"/>
      <c r="AH12" s="107"/>
      <c r="AI12" s="107"/>
      <c r="AJ12" s="107"/>
      <c r="AK12" s="133" t="e">
        <f>AE3/H3</f>
        <v>#DIV/0!</v>
      </c>
      <c r="AL12" s="107"/>
      <c r="AM12" s="107"/>
      <c r="AN12" s="107"/>
      <c r="AO12" s="107"/>
      <c r="AP12" s="107"/>
      <c r="AQ12" s="107"/>
      <c r="AR12" s="107"/>
      <c r="AS12" s="107"/>
      <c r="AT12" s="107"/>
      <c r="AU12" s="107"/>
      <c r="AV12" s="107"/>
      <c r="AW12" s="107"/>
      <c r="AX12" s="107"/>
      <c r="AY12" s="107"/>
      <c r="AZ12" s="107"/>
      <c r="BA12" s="107"/>
      <c r="BB12" s="107"/>
      <c r="BC12" s="107"/>
    </row>
    <row r="13" spans="1:55" ht="25" customHeight="1" x14ac:dyDescent="0.35">
      <c r="A13" s="124" t="s">
        <v>31</v>
      </c>
      <c r="B13" s="126">
        <f>B14</f>
        <v>5.3093466162770699E-2</v>
      </c>
      <c r="C13" s="126">
        <f t="shared" ref="C13:G13" si="21">C14</f>
        <v>2.3920653442240401E-2</v>
      </c>
      <c r="D13" s="126">
        <f t="shared" si="21"/>
        <v>2.3931623931624003E-2</v>
      </c>
      <c r="E13" s="126">
        <f t="shared" si="21"/>
        <v>3.9271802210033201E-2</v>
      </c>
      <c r="F13" s="126">
        <f t="shared" si="21"/>
        <v>5.8211581121395496E-2</v>
      </c>
      <c r="G13" s="126">
        <f t="shared" si="21"/>
        <v>5.9780251554140899E-2</v>
      </c>
      <c r="H13" s="126">
        <f>H14</f>
        <v>3.3000000000000002E-2</v>
      </c>
      <c r="I13" s="126">
        <f>H13*(1-$B$15)</f>
        <v>3.2157173222703082E-2</v>
      </c>
      <c r="J13" s="126">
        <f>I13*(1-$B$15)</f>
        <v>3.1335872414391883E-2</v>
      </c>
      <c r="K13" s="126">
        <f>J13*(1-$B$15)</f>
        <v>3.0535547797397661E-2</v>
      </c>
      <c r="L13" s="126">
        <f>K13*(1-$B$15)</f>
        <v>2.9755663635486245E-2</v>
      </c>
      <c r="M13" s="126">
        <f>L13*(1-$B$15)</f>
        <v>2.8995697875236912E-2</v>
      </c>
      <c r="N13" s="126">
        <f t="shared" ref="N13" si="22">M13*(1-$B$15)</f>
        <v>2.8255141796580518E-2</v>
      </c>
      <c r="O13" s="126">
        <f t="shared" ref="O13" si="23">N13*(1-$B$15)</f>
        <v>2.753349967226296E-2</v>
      </c>
      <c r="P13" s="107"/>
      <c r="Q13" s="300" t="s">
        <v>5</v>
      </c>
      <c r="R13" s="320">
        <f>I48</f>
        <v>302.89205555555532</v>
      </c>
      <c r="S13" s="320">
        <f t="shared" ref="S13:X13" si="24">J48</f>
        <v>307.63774895966617</v>
      </c>
      <c r="T13" s="320">
        <f t="shared" si="24"/>
        <v>312.334692553487</v>
      </c>
      <c r="U13" s="320">
        <f t="shared" si="24"/>
        <v>316.98155558014429</v>
      </c>
      <c r="V13" s="320">
        <f t="shared" si="24"/>
        <v>321.57710628895649</v>
      </c>
      <c r="W13" s="320">
        <f t="shared" si="24"/>
        <v>326.12020965732074</v>
      </c>
      <c r="X13" s="320">
        <f t="shared" si="24"/>
        <v>330.60982500017985</v>
      </c>
      <c r="Y13" s="107"/>
      <c r="Z13" s="107"/>
      <c r="AA13" s="107"/>
      <c r="AB13" s="107"/>
      <c r="AC13" s="107"/>
      <c r="AD13" s="107" t="s">
        <v>44</v>
      </c>
      <c r="AE13" s="106" t="e">
        <f>AVERAGE(#REF!)</f>
        <v>#REF!</v>
      </c>
      <c r="AF13" s="106" t="e">
        <f>AVERAGE(AE13:AE14)</f>
        <v>#REF!</v>
      </c>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row>
    <row r="14" spans="1:55" ht="25" customHeight="1" x14ac:dyDescent="0.35">
      <c r="A14" s="124" t="s">
        <v>45</v>
      </c>
      <c r="B14" s="126">
        <v>5.3093466162770699E-2</v>
      </c>
      <c r="C14" s="126">
        <v>2.3920653442240401E-2</v>
      </c>
      <c r="D14" s="126">
        <v>2.3931623931624003E-2</v>
      </c>
      <c r="E14" s="126">
        <v>3.9271802210033201E-2</v>
      </c>
      <c r="F14" s="126">
        <v>5.8211581121395496E-2</v>
      </c>
      <c r="G14" s="126">
        <v>5.9780251554140899E-2</v>
      </c>
      <c r="H14" s="130">
        <v>3.3000000000000002E-2</v>
      </c>
      <c r="I14" s="130">
        <v>0.03</v>
      </c>
      <c r="J14" s="130">
        <v>0.03</v>
      </c>
      <c r="K14" s="130">
        <v>0.03</v>
      </c>
      <c r="L14" s="130">
        <v>0.03</v>
      </c>
      <c r="M14" s="127">
        <v>0.03</v>
      </c>
      <c r="N14" s="127">
        <v>0.03</v>
      </c>
      <c r="O14" s="127">
        <v>0.03</v>
      </c>
      <c r="P14" s="107"/>
      <c r="Q14" s="297" t="s">
        <v>46</v>
      </c>
      <c r="R14" s="297">
        <f>R9</f>
        <v>2025</v>
      </c>
      <c r="S14" s="297">
        <f t="shared" ref="S14:X14" si="25">S9</f>
        <v>2026</v>
      </c>
      <c r="T14" s="297">
        <f t="shared" si="25"/>
        <v>2027</v>
      </c>
      <c r="U14" s="297">
        <f t="shared" si="25"/>
        <v>2028</v>
      </c>
      <c r="V14" s="297">
        <f t="shared" si="25"/>
        <v>2029</v>
      </c>
      <c r="W14" s="297">
        <f t="shared" si="25"/>
        <v>2030</v>
      </c>
      <c r="X14" s="297">
        <f t="shared" si="25"/>
        <v>2031</v>
      </c>
      <c r="Y14" s="107"/>
      <c r="Z14" s="107"/>
      <c r="AA14" s="107"/>
      <c r="AB14" s="107"/>
      <c r="AC14" s="107"/>
      <c r="AD14" s="107" t="s">
        <v>47</v>
      </c>
      <c r="AE14" s="106">
        <v>3.2000000000000001E-2</v>
      </c>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row>
    <row r="15" spans="1:55" ht="25" customHeight="1" x14ac:dyDescent="0.35">
      <c r="A15" s="120" t="s">
        <v>46</v>
      </c>
      <c r="B15" s="277">
        <f>AVERAGE(C15:H15)</f>
        <v>2.5540205372633962E-2</v>
      </c>
      <c r="C15" s="277">
        <f>C14/B14-1</f>
        <v>-0.54946144655717288</v>
      </c>
      <c r="D15" s="277">
        <f t="shared" ref="D15:H15" si="26">D14/C14-1</f>
        <v>4.5861997081697581E-4</v>
      </c>
      <c r="E15" s="277">
        <f t="shared" si="26"/>
        <v>0.64100030663352525</v>
      </c>
      <c r="F15" s="277">
        <f t="shared" si="26"/>
        <v>0.48227424883810244</v>
      </c>
      <c r="G15" s="277">
        <f t="shared" si="26"/>
        <v>2.694773793335159E-2</v>
      </c>
      <c r="H15" s="277">
        <f t="shared" si="26"/>
        <v>-0.4479782345828196</v>
      </c>
      <c r="I15" s="121">
        <f t="shared" ref="I15:O15" si="27">I5*I12</f>
        <v>257309658.66666642</v>
      </c>
      <c r="J15" s="121">
        <f t="shared" si="27"/>
        <v>263085977.55961698</v>
      </c>
      <c r="K15" s="121">
        <f t="shared" si="27"/>
        <v>268868999.25671393</v>
      </c>
      <c r="L15" s="121">
        <f t="shared" si="27"/>
        <v>274675679.51829743</v>
      </c>
      <c r="M15" s="121">
        <f t="shared" si="27"/>
        <v>280529293.17529261</v>
      </c>
      <c r="N15" s="121">
        <f t="shared" si="27"/>
        <v>286464036.95675379</v>
      </c>
      <c r="O15" s="121">
        <f t="shared" si="27"/>
        <v>292529115.60810262</v>
      </c>
      <c r="P15" s="107"/>
      <c r="Q15" s="313" t="s">
        <v>2</v>
      </c>
      <c r="R15" s="321">
        <f>R10*R5</f>
        <v>257309658.66666642</v>
      </c>
      <c r="S15" s="321">
        <f t="shared" ref="S15:X15" si="28">S10*S5</f>
        <v>272025998.37693399</v>
      </c>
      <c r="T15" s="321">
        <f t="shared" si="28"/>
        <v>289231469.1883989</v>
      </c>
      <c r="U15" s="321">
        <f t="shared" si="28"/>
        <v>309710698.92106348</v>
      </c>
      <c r="V15" s="321">
        <f t="shared" si="28"/>
        <v>334797665.17183834</v>
      </c>
      <c r="W15" s="321">
        <f t="shared" si="28"/>
        <v>366590688.60924971</v>
      </c>
      <c r="X15" s="321">
        <f t="shared" si="28"/>
        <v>408603917.91755319</v>
      </c>
      <c r="Y15" s="107"/>
      <c r="Z15" s="107"/>
      <c r="AA15" s="107"/>
      <c r="AB15" s="120"/>
      <c r="AC15" s="107"/>
      <c r="AD15" s="106">
        <f>O3/N3-1</f>
        <v>3.116923173157371E-2</v>
      </c>
      <c r="AE15" s="106">
        <f>Z3/O3-1</f>
        <v>-0.9</v>
      </c>
      <c r="AF15" s="106">
        <f>AA3/Z3-1</f>
        <v>-1</v>
      </c>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row>
    <row r="16" spans="1:55" s="140" customFormat="1" ht="25" customHeight="1" x14ac:dyDescent="0.35">
      <c r="A16" s="373" t="s">
        <v>32</v>
      </c>
      <c r="B16" s="374"/>
      <c r="C16" s="374"/>
      <c r="D16" s="374"/>
      <c r="E16" s="374"/>
      <c r="F16" s="374"/>
      <c r="G16" s="374"/>
      <c r="H16" s="374"/>
      <c r="I16" s="374"/>
      <c r="J16" s="374"/>
      <c r="K16" s="374"/>
      <c r="L16" s="374"/>
      <c r="M16" s="374"/>
      <c r="N16" s="374"/>
      <c r="O16" s="375"/>
      <c r="P16" s="107"/>
      <c r="Q16" s="299" t="s">
        <v>32</v>
      </c>
      <c r="R16" s="321">
        <f t="shared" ref="R16:X18" si="29">R11*R6</f>
        <v>453372257.72222185</v>
      </c>
      <c r="S16" s="321">
        <f t="shared" si="29"/>
        <v>484911659.97262841</v>
      </c>
      <c r="T16" s="321">
        <f t="shared" si="29"/>
        <v>517299775.27681714</v>
      </c>
      <c r="U16" s="321">
        <f t="shared" si="29"/>
        <v>499678957.68205726</v>
      </c>
      <c r="V16" s="321">
        <f t="shared" si="29"/>
        <v>483878005.08867639</v>
      </c>
      <c r="W16" s="321">
        <f t="shared" si="29"/>
        <v>469894035.72734851</v>
      </c>
      <c r="X16" s="321">
        <f t="shared" si="29"/>
        <v>457744813.61775637</v>
      </c>
      <c r="Y16" s="107"/>
      <c r="Z16" s="111"/>
      <c r="AA16" s="111"/>
      <c r="AB16" s="111"/>
      <c r="AC16" s="111"/>
      <c r="AD16" s="134">
        <f>SUM(AB15:AF15)/5</f>
        <v>-0.37376615365368526</v>
      </c>
      <c r="AE16" s="111"/>
      <c r="AF16" s="111"/>
      <c r="AG16" s="111"/>
      <c r="AH16" s="111"/>
      <c r="AI16" s="111"/>
      <c r="AJ16" s="111"/>
      <c r="AK16" s="111"/>
      <c r="AL16" s="111"/>
      <c r="AM16" s="111"/>
      <c r="AN16" s="111"/>
      <c r="AO16" s="111"/>
      <c r="AP16" s="111"/>
      <c r="AQ16" s="111"/>
      <c r="AR16" s="111"/>
      <c r="AS16" s="111"/>
      <c r="AT16" s="111"/>
      <c r="AU16" s="111"/>
      <c r="AV16" s="111"/>
      <c r="AW16" s="111"/>
      <c r="AX16" s="111"/>
      <c r="AY16" s="111"/>
      <c r="AZ16" s="111"/>
      <c r="BA16" s="111"/>
      <c r="BB16" s="111"/>
      <c r="BC16" s="111"/>
    </row>
    <row r="17" spans="1:55" s="142" customFormat="1" ht="25" customHeight="1" x14ac:dyDescent="0.35">
      <c r="A17" s="120" t="s">
        <v>7</v>
      </c>
      <c r="B17" s="120"/>
      <c r="C17" s="120"/>
      <c r="D17" s="120"/>
      <c r="E17" s="120"/>
      <c r="F17" s="120"/>
      <c r="G17" s="120"/>
      <c r="H17" s="121"/>
      <c r="I17" s="121">
        <f>'PHP Requirement'!E5</f>
        <v>1619000</v>
      </c>
      <c r="J17" s="275">
        <f>I17*(1+J18)</f>
        <v>1704915.2356958711</v>
      </c>
      <c r="K17" s="275">
        <f>J17*(1+K18)</f>
        <v>1791438.2926412192</v>
      </c>
      <c r="L17" s="275">
        <f>K17*(1-L18)</f>
        <v>1705048.9757592878</v>
      </c>
      <c r="M17" s="275">
        <f t="shared" ref="M17:O17" si="30">L17*(1-M18)</f>
        <v>1627535.7920900953</v>
      </c>
      <c r="N17" s="275">
        <f t="shared" si="30"/>
        <v>1558482.7847850258</v>
      </c>
      <c r="O17" s="275">
        <f t="shared" si="30"/>
        <v>1497571.1540881163</v>
      </c>
      <c r="P17" s="107"/>
      <c r="Q17" s="300" t="s">
        <v>34</v>
      </c>
      <c r="R17" s="321">
        <f t="shared" si="29"/>
        <v>998663681.88888812</v>
      </c>
      <c r="S17" s="321">
        <f t="shared" si="29"/>
        <v>1025612079.5965258</v>
      </c>
      <c r="T17" s="321">
        <f t="shared" si="29"/>
        <v>1054032246.1585945</v>
      </c>
      <c r="U17" s="321">
        <f t="shared" si="29"/>
        <v>1084064401.710182</v>
      </c>
      <c r="V17" s="321">
        <f t="shared" si="29"/>
        <v>1115862912.2297313</v>
      </c>
      <c r="W17" s="321">
        <f t="shared" si="29"/>
        <v>1149598020.1342671</v>
      </c>
      <c r="X17" s="321">
        <f t="shared" si="29"/>
        <v>1185457824.7650878</v>
      </c>
      <c r="Y17" s="107"/>
      <c r="Z17" s="136"/>
      <c r="AA17" s="379" t="s">
        <v>48</v>
      </c>
      <c r="AB17" s="379"/>
      <c r="AC17" s="136"/>
      <c r="AD17" s="122" t="e">
        <f>SUM(AB18:AF18)/5</f>
        <v>#VALUE!</v>
      </c>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row>
    <row r="18" spans="1:55" ht="25" customHeight="1" x14ac:dyDescent="0.35">
      <c r="A18" s="124" t="s">
        <v>31</v>
      </c>
      <c r="B18" s="120"/>
      <c r="C18" s="120"/>
      <c r="D18" s="120"/>
      <c r="E18" s="120"/>
      <c r="F18" s="120"/>
      <c r="G18" s="120"/>
      <c r="H18" s="125">
        <v>15440.3</v>
      </c>
      <c r="I18" s="126">
        <f>(1+I20)*(1+I22)*(1-I23)-1</f>
        <v>0.11910365557714542</v>
      </c>
      <c r="J18" s="126">
        <f t="shared" ref="J18:O18" si="31">(1+J20)*(1+J22)*(1-J23)-1</f>
        <v>5.3066853425491667E-2</v>
      </c>
      <c r="K18" s="126">
        <f>(1+K20)*(1+K22)*(1-K23)-1</f>
        <v>5.0749183967514488E-2</v>
      </c>
      <c r="L18" s="126">
        <f t="shared" si="31"/>
        <v>4.8223439923550382E-2</v>
      </c>
      <c r="M18" s="126">
        <f>(1+M20)*(1+M22)*(1-M23)-1</f>
        <v>4.5460971955174845E-2</v>
      </c>
      <c r="N18" s="126">
        <f t="shared" si="31"/>
        <v>4.2427950058407715E-2</v>
      </c>
      <c r="O18" s="126">
        <f t="shared" si="31"/>
        <v>3.9083929121046745E-2</v>
      </c>
      <c r="P18" s="107"/>
      <c r="Q18" s="300" t="s">
        <v>5</v>
      </c>
      <c r="R18" s="321">
        <f t="shared" si="29"/>
        <v>343176698.94444418</v>
      </c>
      <c r="S18" s="321">
        <f t="shared" si="29"/>
        <v>362265481.92604369</v>
      </c>
      <c r="T18" s="321">
        <f t="shared" si="29"/>
        <v>384653584.64261562</v>
      </c>
      <c r="U18" s="321">
        <f t="shared" si="29"/>
        <v>411029063.60448438</v>
      </c>
      <c r="V18" s="321">
        <f t="shared" si="29"/>
        <v>442260217.89573574</v>
      </c>
      <c r="W18" s="321">
        <f t="shared" si="29"/>
        <v>479452815.36342728</v>
      </c>
      <c r="X18" s="321">
        <f t="shared" si="29"/>
        <v>524028517.22452825</v>
      </c>
      <c r="Y18" s="107"/>
      <c r="Z18" s="107"/>
      <c r="AA18" s="379"/>
      <c r="AB18" s="379"/>
      <c r="AC18" s="107"/>
      <c r="AD18" s="106">
        <f>O5/N5-1</f>
        <v>7.3049020494244665E-3</v>
      </c>
      <c r="AE18" s="106">
        <f>Z5/O5-1</f>
        <v>1224.5095586293239</v>
      </c>
      <c r="AF18" s="106" t="e">
        <f>AA5/Z5-1</f>
        <v>#VALUE!</v>
      </c>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row>
    <row r="19" spans="1:55" ht="25" customHeight="1" x14ac:dyDescent="0.35">
      <c r="A19" s="124" t="s">
        <v>49</v>
      </c>
      <c r="B19" s="274">
        <v>10959.7</v>
      </c>
      <c r="C19" s="274">
        <v>11432.8</v>
      </c>
      <c r="D19" s="274">
        <v>11910.1</v>
      </c>
      <c r="E19" s="274">
        <v>12244.1</v>
      </c>
      <c r="F19" s="274">
        <v>13150</v>
      </c>
      <c r="G19" s="274">
        <v>14705.8</v>
      </c>
      <c r="H19" s="130"/>
      <c r="I19" s="130"/>
      <c r="J19" s="130"/>
      <c r="K19" s="130"/>
      <c r="L19" s="130"/>
      <c r="M19" s="127"/>
      <c r="N19" s="127"/>
      <c r="O19" s="127"/>
      <c r="P19" s="107"/>
      <c r="Q19" s="297" t="s">
        <v>13</v>
      </c>
      <c r="R19" s="297">
        <f>R14</f>
        <v>2025</v>
      </c>
      <c r="S19" s="297">
        <f t="shared" ref="S19:X19" si="32">S14</f>
        <v>2026</v>
      </c>
      <c r="T19" s="297">
        <f t="shared" si="32"/>
        <v>2027</v>
      </c>
      <c r="U19" s="297">
        <f t="shared" si="32"/>
        <v>2028</v>
      </c>
      <c r="V19" s="297">
        <f t="shared" si="32"/>
        <v>2029</v>
      </c>
      <c r="W19" s="297">
        <f t="shared" si="32"/>
        <v>2030</v>
      </c>
      <c r="X19" s="297">
        <f t="shared" si="32"/>
        <v>2031</v>
      </c>
      <c r="Y19" s="107"/>
      <c r="Z19" s="107"/>
      <c r="AA19" s="379"/>
      <c r="AB19" s="379"/>
      <c r="AC19" s="120">
        <v>2.39206534422404</v>
      </c>
      <c r="AD19" s="120">
        <v>2.3931623931624002</v>
      </c>
      <c r="AE19" s="120">
        <v>3.92718022100332</v>
      </c>
      <c r="AF19" s="120">
        <v>5.8211581121395497</v>
      </c>
      <c r="AG19" s="120">
        <v>5.9780251554140902</v>
      </c>
      <c r="AH19" s="120">
        <v>3.3</v>
      </c>
      <c r="AI19" s="120">
        <v>3</v>
      </c>
      <c r="AJ19" s="120">
        <v>3</v>
      </c>
      <c r="AK19" s="120">
        <v>3</v>
      </c>
      <c r="AL19" s="120">
        <v>3</v>
      </c>
      <c r="AM19" s="120">
        <v>3</v>
      </c>
      <c r="AN19" s="120">
        <v>3</v>
      </c>
      <c r="AO19" s="120">
        <v>3</v>
      </c>
      <c r="AP19" s="107"/>
      <c r="AQ19" s="107"/>
      <c r="AR19" s="107"/>
      <c r="AS19" s="107"/>
      <c r="AT19" s="107"/>
      <c r="AU19" s="107"/>
      <c r="AV19" s="107"/>
      <c r="AW19" s="107"/>
      <c r="AX19" s="107"/>
      <c r="AY19" s="107"/>
      <c r="AZ19" s="107"/>
      <c r="BA19" s="107"/>
      <c r="BB19" s="107"/>
      <c r="BC19" s="107"/>
    </row>
    <row r="20" spans="1:55" ht="25" customHeight="1" x14ac:dyDescent="0.35">
      <c r="A20" s="127" t="s">
        <v>37</v>
      </c>
      <c r="B20" s="124"/>
      <c r="C20" s="126">
        <f>C19/B19-1</f>
        <v>4.316723997919647E-2</v>
      </c>
      <c r="D20" s="126">
        <f t="shared" ref="D20" si="33">D19/C19-1</f>
        <v>4.1748303127842723E-2</v>
      </c>
      <c r="E20" s="126">
        <f>E19/D19-1</f>
        <v>2.8043425328082794E-2</v>
      </c>
      <c r="F20" s="126">
        <f t="shared" ref="F20:G20" si="34">F19/E19-1</f>
        <v>7.3986654797004281E-2</v>
      </c>
      <c r="G20" s="126">
        <f t="shared" si="34"/>
        <v>0.11831178707224321</v>
      </c>
      <c r="H20" s="127">
        <f>AVERAGE($C$20:$G$20)</f>
        <v>6.1051482060873893E-2</v>
      </c>
      <c r="I20" s="127">
        <f>G20*(1+H20)</f>
        <v>0.12553489701827419</v>
      </c>
      <c r="J20" s="127">
        <f>$H$20</f>
        <v>6.1051482060873893E-2</v>
      </c>
      <c r="K20" s="127">
        <f t="shared" ref="K20:O20" si="35">$H$20</f>
        <v>6.1051482060873893E-2</v>
      </c>
      <c r="L20" s="127">
        <f t="shared" si="35"/>
        <v>6.1051482060873893E-2</v>
      </c>
      <c r="M20" s="127">
        <f t="shared" si="35"/>
        <v>6.1051482060873893E-2</v>
      </c>
      <c r="N20" s="127">
        <f t="shared" si="35"/>
        <v>6.1051482060873893E-2</v>
      </c>
      <c r="O20" s="127">
        <f t="shared" si="35"/>
        <v>6.1051482060873893E-2</v>
      </c>
      <c r="P20" s="107"/>
      <c r="Q20" s="313" t="s">
        <v>2</v>
      </c>
      <c r="R20" s="321">
        <f>I54</f>
        <v>105221271.13333325</v>
      </c>
      <c r="S20" s="321">
        <f t="shared" ref="S20:X20" si="36">J54</f>
        <v>103845288.77197577</v>
      </c>
      <c r="T20" s="321">
        <f t="shared" si="36"/>
        <v>100390184.80082598</v>
      </c>
      <c r="U20" s="321">
        <f t="shared" si="36"/>
        <v>107839723.3061811</v>
      </c>
      <c r="V20" s="321">
        <f t="shared" si="36"/>
        <v>115853042.81801343</v>
      </c>
      <c r="W20" s="321">
        <f t="shared" si="36"/>
        <v>124488302.71881093</v>
      </c>
      <c r="X20" s="321">
        <f t="shared" si="36"/>
        <v>133817001.36763039</v>
      </c>
      <c r="Y20" s="107"/>
      <c r="Z20" s="107"/>
      <c r="AA20" s="379"/>
      <c r="AB20" s="379"/>
      <c r="AC20" s="107"/>
      <c r="AD20" s="106" t="e">
        <f>AVERAGE(#REF!)</f>
        <v>#REF!</v>
      </c>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row>
    <row r="21" spans="1:55" ht="25" customHeight="1" x14ac:dyDescent="0.35">
      <c r="A21" s="124" t="s">
        <v>40</v>
      </c>
      <c r="B21" s="124">
        <v>3.19</v>
      </c>
      <c r="C21" s="124">
        <v>3.15</v>
      </c>
      <c r="D21" s="124">
        <v>3.39</v>
      </c>
      <c r="E21" s="124">
        <v>3.4</v>
      </c>
      <c r="F21" s="124">
        <v>3.62</v>
      </c>
      <c r="G21" s="124">
        <v>3.89</v>
      </c>
      <c r="H21" s="127"/>
      <c r="I21" s="127"/>
      <c r="J21" s="127"/>
      <c r="K21" s="127"/>
      <c r="L21" s="127"/>
      <c r="M21" s="127"/>
      <c r="N21" s="127"/>
      <c r="O21" s="127"/>
      <c r="P21" s="107"/>
      <c r="Q21" s="299" t="s">
        <v>32</v>
      </c>
      <c r="R21" s="321">
        <f>I64</f>
        <v>233162875.39999983</v>
      </c>
      <c r="S21" s="321">
        <f t="shared" ref="S21:X21" si="37">J64</f>
        <v>240718090.66129434</v>
      </c>
      <c r="T21" s="321">
        <f t="shared" si="37"/>
        <v>242912474.52898782</v>
      </c>
      <c r="U21" s="321">
        <f t="shared" si="37"/>
        <v>246721288.04582125</v>
      </c>
      <c r="V21" s="321">
        <f t="shared" si="37"/>
        <v>251317143.1536136</v>
      </c>
      <c r="W21" s="321">
        <f t="shared" si="37"/>
        <v>256812037.20618424</v>
      </c>
      <c r="X21" s="321">
        <f t="shared" si="37"/>
        <v>263343518.21217361</v>
      </c>
      <c r="Y21" s="107"/>
      <c r="Z21" s="107"/>
      <c r="AA21" s="379"/>
      <c r="AB21" s="379"/>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row>
    <row r="22" spans="1:55" s="140" customFormat="1" ht="25" customHeight="1" x14ac:dyDescent="0.35">
      <c r="A22" s="127">
        <f>AVERAGE(C22:G22)</f>
        <v>4.1178532291386016E-2</v>
      </c>
      <c r="B22" s="124"/>
      <c r="C22" s="126">
        <f>C21/B21-1</f>
        <v>-1.2539184952978122E-2</v>
      </c>
      <c r="D22" s="126">
        <f t="shared" ref="D22" si="38">D21/C21-1</f>
        <v>7.6190476190476364E-2</v>
      </c>
      <c r="E22" s="126">
        <f>E21/D21-1</f>
        <v>2.9498525073745618E-3</v>
      </c>
      <c r="F22" s="126">
        <f t="shared" ref="F22:G22" si="39">F21/E21-1</f>
        <v>6.4705882352941169E-2</v>
      </c>
      <c r="G22" s="126">
        <f t="shared" si="39"/>
        <v>7.4585635359116109E-2</v>
      </c>
      <c r="H22" s="127">
        <f>AVERAGE($C$22:$G$22)</f>
        <v>4.1178532291386016E-2</v>
      </c>
      <c r="I22" s="127">
        <f>H22*(1-0.5%)</f>
        <v>4.0972639629929086E-2</v>
      </c>
      <c r="J22" s="127">
        <f t="shared" ref="J22:O22" si="40">AVERAGE($C$10:$G$10)</f>
        <v>4.1178532291386016E-2</v>
      </c>
      <c r="K22" s="127">
        <f t="shared" si="40"/>
        <v>4.1178532291386016E-2</v>
      </c>
      <c r="L22" s="127">
        <f t="shared" si="40"/>
        <v>4.1178532291386016E-2</v>
      </c>
      <c r="M22" s="127">
        <f t="shared" si="40"/>
        <v>4.1178532291386016E-2</v>
      </c>
      <c r="N22" s="127">
        <f t="shared" si="40"/>
        <v>4.1178532291386016E-2</v>
      </c>
      <c r="O22" s="127">
        <f t="shared" si="40"/>
        <v>4.1178532291386016E-2</v>
      </c>
      <c r="P22" s="107"/>
      <c r="Q22" s="300" t="s">
        <v>34</v>
      </c>
      <c r="R22" s="321">
        <f>I74</f>
        <v>499331840.94444406</v>
      </c>
      <c r="S22" s="321">
        <f t="shared" ref="S22:X22" si="41">J74</f>
        <v>494988117.75982833</v>
      </c>
      <c r="T22" s="321">
        <f t="shared" si="41"/>
        <v>481201496.71947008</v>
      </c>
      <c r="U22" s="321">
        <f t="shared" si="41"/>
        <v>520398684.05565327</v>
      </c>
      <c r="V22" s="321">
        <f t="shared" si="41"/>
        <v>563459388.44440198</v>
      </c>
      <c r="W22" s="321">
        <f t="shared" si="41"/>
        <v>610839332.76610053</v>
      </c>
      <c r="X22" s="321">
        <f t="shared" si="41"/>
        <v>663056981.52272558</v>
      </c>
      <c r="Y22" s="107"/>
      <c r="Z22" s="111"/>
      <c r="AA22" s="379"/>
      <c r="AB22" s="379"/>
      <c r="AC22" s="111"/>
      <c r="AD22" s="106" t="e">
        <f>#REF!/#REF!-1</f>
        <v>#REF!</v>
      </c>
      <c r="AE22" s="106" t="e">
        <f>Z18/#REF!-1</f>
        <v>#REF!</v>
      </c>
      <c r="AF22" s="106" t="e">
        <f>AA18/Z18-1</f>
        <v>#DIV/0!</v>
      </c>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row>
    <row r="23" spans="1:55" ht="25" customHeight="1" x14ac:dyDescent="0.35">
      <c r="A23" s="127" t="s">
        <v>41</v>
      </c>
      <c r="B23" s="127">
        <v>4.2999999999999997E-2</v>
      </c>
      <c r="C23" s="127">
        <v>4.2999999999999997E-2</v>
      </c>
      <c r="D23" s="127">
        <v>4.2999999999999997E-2</v>
      </c>
      <c r="E23" s="127">
        <v>4.2999999999999997E-2</v>
      </c>
      <c r="F23" s="127">
        <v>4.2999999999999997E-2</v>
      </c>
      <c r="G23" s="127">
        <v>4.2999999999999997E-2</v>
      </c>
      <c r="H23" s="127">
        <v>4.2999999999999997E-2</v>
      </c>
      <c r="I23" s="127">
        <f>H23*(1+G23)</f>
        <v>4.4848999999999993E-2</v>
      </c>
      <c r="J23" s="127">
        <f t="shared" ref="J23:O23" si="42">I23*(1+H23)</f>
        <v>4.6777506999999989E-2</v>
      </c>
      <c r="K23" s="127">
        <f t="shared" si="42"/>
        <v>4.8875431411442988E-2</v>
      </c>
      <c r="L23" s="127">
        <f t="shared" si="42"/>
        <v>5.1161702246419784E-2</v>
      </c>
      <c r="M23" s="127">
        <f t="shared" si="42"/>
        <v>5.3662252515457344E-2</v>
      </c>
      <c r="N23" s="127">
        <f t="shared" si="42"/>
        <v>5.6407704700525356E-2</v>
      </c>
      <c r="O23" s="127">
        <f t="shared" si="42"/>
        <v>5.9434669193982298E-2</v>
      </c>
      <c r="P23" s="107"/>
      <c r="Q23" s="300" t="s">
        <v>5</v>
      </c>
      <c r="R23" s="321">
        <f>I84</f>
        <v>160580794.97777766</v>
      </c>
      <c r="S23" s="321">
        <f t="shared" ref="S23:X23" si="43">J84</f>
        <v>163623021.46706527</v>
      </c>
      <c r="T23" s="321">
        <f t="shared" si="43"/>
        <v>164342035.94575167</v>
      </c>
      <c r="U23" s="321">
        <f t="shared" si="43"/>
        <v>184654308.25862893</v>
      </c>
      <c r="V23" s="321">
        <f t="shared" si="43"/>
        <v>208994789.51192117</v>
      </c>
      <c r="W23" s="321">
        <f t="shared" si="43"/>
        <v>238414501.08750877</v>
      </c>
      <c r="X23" s="321">
        <f t="shared" si="43"/>
        <v>274299788.72486818</v>
      </c>
      <c r="Y23" s="107"/>
      <c r="Z23" s="129" t="e">
        <f>O3-O52-O93-#REF!-#REF!</f>
        <v>#REF!</v>
      </c>
      <c r="AA23" s="107"/>
      <c r="AB23" s="107"/>
      <c r="AC23" s="107"/>
      <c r="AD23" s="108" t="e">
        <f>SUM(AB22:AF22)/5</f>
        <v>#REF!</v>
      </c>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row>
    <row r="24" spans="1:55" ht="25" customHeight="1" x14ac:dyDescent="0.35">
      <c r="A24" s="120" t="s">
        <v>8</v>
      </c>
      <c r="B24" s="120"/>
      <c r="C24" s="120"/>
      <c r="D24" s="120"/>
      <c r="E24" s="120"/>
      <c r="F24" s="120"/>
      <c r="G24" s="120"/>
      <c r="H24" s="121"/>
      <c r="I24" s="121">
        <f>'PHP Requirement'!E6</f>
        <v>280.03227777777755</v>
      </c>
      <c r="J24" s="275">
        <f>I24*(1+J25/2)</f>
        <v>284.41980564195552</v>
      </c>
      <c r="K24" s="275">
        <f t="shared" ref="K24" si="44">J24*(1+K25/2)</f>
        <v>288.76226292680877</v>
      </c>
      <c r="L24" s="275">
        <f t="shared" ref="L24" si="45">K24*(1+L25/2)</f>
        <v>293.05841930994478</v>
      </c>
      <c r="M24" s="275">
        <f t="shared" ref="M24" si="46">L24*(1+M25/2)</f>
        <v>297.30713600299759</v>
      </c>
      <c r="N24" s="275">
        <f t="shared" ref="N24" si="47">M24*(1+N25/2)</f>
        <v>301.50736364544753</v>
      </c>
      <c r="O24" s="275">
        <f t="shared" ref="O24" si="48">N24*(1+O25/2)</f>
        <v>305.65814009450594</v>
      </c>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row>
    <row r="25" spans="1:55" ht="25" customHeight="1" x14ac:dyDescent="0.35">
      <c r="A25" s="124" t="s">
        <v>31</v>
      </c>
      <c r="B25" s="126">
        <f>B26</f>
        <v>5.3093466162770699E-2</v>
      </c>
      <c r="C25" s="126">
        <f t="shared" ref="C25:G25" si="49">C26</f>
        <v>2.3920653442240401E-2</v>
      </c>
      <c r="D25" s="126">
        <f t="shared" si="49"/>
        <v>2.3931623931624003E-2</v>
      </c>
      <c r="E25" s="126">
        <f t="shared" si="49"/>
        <v>3.9271802210033201E-2</v>
      </c>
      <c r="F25" s="126">
        <f t="shared" si="49"/>
        <v>5.8211581121395496E-2</v>
      </c>
      <c r="G25" s="126">
        <f t="shared" si="49"/>
        <v>5.9780251554140899E-2</v>
      </c>
      <c r="H25" s="126">
        <f>H26</f>
        <v>3.3000000000000002E-2</v>
      </c>
      <c r="I25" s="126">
        <f>H25*(1-$B$15)</f>
        <v>3.2157173222703082E-2</v>
      </c>
      <c r="J25" s="126">
        <f>I25*(1-$B$15)</f>
        <v>3.1335872414391883E-2</v>
      </c>
      <c r="K25" s="126">
        <f>J25*(1-$B$15)</f>
        <v>3.0535547797397661E-2</v>
      </c>
      <c r="L25" s="126">
        <f>K25*(1-$B$15)</f>
        <v>2.9755663635486245E-2</v>
      </c>
      <c r="M25" s="126">
        <f>L25*(1-$B$15)</f>
        <v>2.8995697875236912E-2</v>
      </c>
      <c r="N25" s="126">
        <f t="shared" ref="N25:O25" si="50">M25*(1-$B$15)</f>
        <v>2.8255141796580518E-2</v>
      </c>
      <c r="O25" s="126">
        <f t="shared" si="50"/>
        <v>2.753349967226296E-2</v>
      </c>
      <c r="P25" s="107"/>
      <c r="Q25" s="107"/>
      <c r="R25" s="107"/>
      <c r="S25" s="107"/>
      <c r="T25" s="107"/>
      <c r="U25" s="107"/>
      <c r="V25" s="107"/>
      <c r="W25" s="107"/>
      <c r="X25" s="107"/>
      <c r="Y25" s="107"/>
      <c r="Z25" s="107"/>
      <c r="AA25" s="107"/>
      <c r="AB25" s="107"/>
      <c r="AC25" s="107"/>
      <c r="AD25" s="106" t="e">
        <f>AVERAGE(#REF!)</f>
        <v>#REF!</v>
      </c>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row>
    <row r="26" spans="1:55" ht="25" customHeight="1" x14ac:dyDescent="0.35">
      <c r="A26" s="124" t="s">
        <v>45</v>
      </c>
      <c r="B26" s="126">
        <v>5.3093466162770699E-2</v>
      </c>
      <c r="C26" s="126">
        <v>2.3920653442240401E-2</v>
      </c>
      <c r="D26" s="126">
        <v>2.3931623931624003E-2</v>
      </c>
      <c r="E26" s="126">
        <v>3.9271802210033201E-2</v>
      </c>
      <c r="F26" s="126">
        <v>5.8211581121395496E-2</v>
      </c>
      <c r="G26" s="126">
        <v>5.9780251554140899E-2</v>
      </c>
      <c r="H26" s="130">
        <v>3.3000000000000002E-2</v>
      </c>
      <c r="I26" s="130">
        <v>0.03</v>
      </c>
      <c r="J26" s="130">
        <v>0.03</v>
      </c>
      <c r="K26" s="130">
        <v>0.03</v>
      </c>
      <c r="L26" s="130">
        <v>0.03</v>
      </c>
      <c r="M26" s="127">
        <v>0.03</v>
      </c>
      <c r="N26" s="127">
        <v>0.03</v>
      </c>
      <c r="O26" s="127">
        <v>0.03</v>
      </c>
      <c r="P26" s="107"/>
      <c r="Q26" s="107"/>
      <c r="R26" s="107"/>
      <c r="S26" s="107"/>
      <c r="T26" s="107"/>
      <c r="U26" s="107"/>
      <c r="V26" s="107"/>
      <c r="W26" s="107"/>
      <c r="X26" s="107"/>
      <c r="Y26" s="107"/>
      <c r="Z26" s="107"/>
      <c r="AA26" s="107"/>
      <c r="AB26" s="107"/>
      <c r="AC26" s="107"/>
      <c r="AD26" s="106" t="e">
        <f>AVERAGE(#REF!)</f>
        <v>#REF!</v>
      </c>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row>
    <row r="27" spans="1:55" ht="25" customHeight="1" x14ac:dyDescent="0.35">
      <c r="A27" s="120" t="s">
        <v>46</v>
      </c>
      <c r="B27" s="277">
        <f>AVERAGE(C27:H27)</f>
        <v>2.5540205372633962E-2</v>
      </c>
      <c r="C27" s="277">
        <f>C26/B26-1</f>
        <v>-0.54946144655717288</v>
      </c>
      <c r="D27" s="277">
        <f t="shared" ref="D27:H27" si="51">D26/C26-1</f>
        <v>4.5861997081697581E-4</v>
      </c>
      <c r="E27" s="277">
        <f t="shared" si="51"/>
        <v>0.64100030663352525</v>
      </c>
      <c r="F27" s="277">
        <f t="shared" si="51"/>
        <v>0.48227424883810244</v>
      </c>
      <c r="G27" s="277">
        <f t="shared" si="51"/>
        <v>2.694773793335159E-2</v>
      </c>
      <c r="H27" s="277">
        <f t="shared" si="51"/>
        <v>-0.4479782345828196</v>
      </c>
      <c r="I27" s="121">
        <f t="shared" ref="I27:O27" si="52">I17*I24</f>
        <v>453372257.72222185</v>
      </c>
      <c r="J27" s="121">
        <f t="shared" si="52"/>
        <v>484911659.97262841</v>
      </c>
      <c r="K27" s="121">
        <f t="shared" si="52"/>
        <v>517299775.27681714</v>
      </c>
      <c r="L27" s="121">
        <f t="shared" si="52"/>
        <v>499678957.68205726</v>
      </c>
      <c r="M27" s="121">
        <f t="shared" si="52"/>
        <v>483878005.08867639</v>
      </c>
      <c r="N27" s="121">
        <f t="shared" si="52"/>
        <v>469894035.72734851</v>
      </c>
      <c r="O27" s="121">
        <f t="shared" si="52"/>
        <v>457744813.61775637</v>
      </c>
      <c r="P27" s="107"/>
      <c r="Q27" s="107"/>
      <c r="R27" s="107"/>
      <c r="S27" s="107"/>
      <c r="T27" s="107"/>
      <c r="U27" s="107"/>
      <c r="V27" s="107"/>
      <c r="W27" s="107"/>
      <c r="X27" s="107"/>
      <c r="Y27" s="107"/>
      <c r="Z27" s="182"/>
      <c r="AA27" s="184">
        <f>SUM(I27:K27)</f>
        <v>1455583692.9716673</v>
      </c>
      <c r="AB27" s="182"/>
      <c r="AC27" s="107"/>
      <c r="AD27" s="107"/>
      <c r="AE27" s="107"/>
      <c r="AF27" s="107"/>
      <c r="AG27" s="107"/>
      <c r="AH27" s="107"/>
      <c r="AI27" s="107"/>
      <c r="AJ27" s="107"/>
      <c r="AK27" s="110">
        <v>2018</v>
      </c>
      <c r="AL27" s="110">
        <v>2019</v>
      </c>
      <c r="AM27" s="110">
        <v>2020</v>
      </c>
      <c r="AN27" s="110">
        <v>2021</v>
      </c>
      <c r="AO27" s="110">
        <v>2022</v>
      </c>
      <c r="AP27" s="110" t="s">
        <v>50</v>
      </c>
      <c r="AQ27" s="110" t="s">
        <v>51</v>
      </c>
      <c r="AR27" s="110" t="s">
        <v>52</v>
      </c>
      <c r="AS27" s="110" t="s">
        <v>53</v>
      </c>
      <c r="AT27" s="110" t="s">
        <v>54</v>
      </c>
      <c r="AU27" s="107"/>
      <c r="AV27" s="107"/>
      <c r="AW27" s="107"/>
      <c r="AX27" s="107"/>
      <c r="AY27" s="107"/>
      <c r="AZ27" s="107"/>
      <c r="BA27" s="107"/>
      <c r="BB27" s="107"/>
      <c r="BC27" s="107"/>
    </row>
    <row r="28" spans="1:55" s="140" customFormat="1" ht="25" customHeight="1" x14ac:dyDescent="0.35">
      <c r="A28" s="373" t="s">
        <v>55</v>
      </c>
      <c r="B28" s="374"/>
      <c r="C28" s="374"/>
      <c r="D28" s="374"/>
      <c r="E28" s="374"/>
      <c r="F28" s="374"/>
      <c r="G28" s="374"/>
      <c r="H28" s="374"/>
      <c r="I28" s="374"/>
      <c r="J28" s="374"/>
      <c r="K28" s="374"/>
      <c r="L28" s="374"/>
      <c r="M28" s="374"/>
      <c r="N28" s="374"/>
      <c r="O28" s="375"/>
      <c r="P28" s="107"/>
      <c r="Q28" s="107"/>
      <c r="R28" s="107"/>
      <c r="S28" s="107"/>
      <c r="T28" s="107"/>
      <c r="U28" s="107"/>
      <c r="V28" s="107"/>
      <c r="W28" s="107"/>
      <c r="X28" s="107"/>
      <c r="Y28" s="107"/>
      <c r="Z28" s="239"/>
      <c r="AA28" s="239"/>
      <c r="AB28" s="239"/>
      <c r="AC28" s="111"/>
      <c r="AD28" s="111"/>
      <c r="AE28" s="111"/>
      <c r="AF28" s="111"/>
      <c r="AG28" s="111"/>
      <c r="AH28" s="111"/>
      <c r="AI28" s="111"/>
      <c r="AJ28" s="107" t="s">
        <v>56</v>
      </c>
      <c r="AK28" s="109">
        <v>22610.49491097089</v>
      </c>
      <c r="AL28" s="109">
        <v>25078.761399893556</v>
      </c>
      <c r="AM28" s="109">
        <v>26708.310166984938</v>
      </c>
      <c r="AN28" s="109">
        <v>27015.499627043584</v>
      </c>
      <c r="AO28" s="109">
        <v>25975.339980175617</v>
      </c>
      <c r="AP28" s="109">
        <v>26156.937299408415</v>
      </c>
      <c r="AQ28" s="109">
        <v>26338.664264853298</v>
      </c>
      <c r="AR28" s="109">
        <v>26520.500206299643</v>
      </c>
      <c r="AS28" s="109">
        <v>26702.424147083308</v>
      </c>
      <c r="AT28" s="109">
        <v>26884.414804548302</v>
      </c>
      <c r="AU28" s="111"/>
      <c r="AV28" s="111"/>
      <c r="AW28" s="111"/>
      <c r="AX28" s="111"/>
      <c r="AY28" s="111"/>
      <c r="AZ28" s="111"/>
      <c r="BA28" s="111"/>
      <c r="BB28" s="111"/>
      <c r="BC28" s="111"/>
    </row>
    <row r="29" spans="1:55" ht="25" customHeight="1" x14ac:dyDescent="0.35">
      <c r="A29" s="120" t="s">
        <v>7</v>
      </c>
      <c r="B29" s="120"/>
      <c r="C29" s="120"/>
      <c r="D29" s="120"/>
      <c r="E29" s="120"/>
      <c r="F29" s="120"/>
      <c r="G29" s="120"/>
      <c r="H29" s="121"/>
      <c r="I29" s="121">
        <f>'PHP Requirement'!D5</f>
        <v>3718000</v>
      </c>
      <c r="J29" s="275">
        <f>I29*(1+J30)</f>
        <v>3759425.7699459959</v>
      </c>
      <c r="K29" s="275">
        <f t="shared" ref="K29:O29" si="53">J29*(1+K30)</f>
        <v>3805499.6211325307</v>
      </c>
      <c r="L29" s="275">
        <f t="shared" si="53"/>
        <v>3856551.2106568674</v>
      </c>
      <c r="M29" s="275">
        <f t="shared" si="53"/>
        <v>3912944.896142656</v>
      </c>
      <c r="N29" s="275">
        <f t="shared" si="53"/>
        <v>3975083.9592435542</v>
      </c>
      <c r="O29" s="275">
        <f t="shared" si="53"/>
        <v>4043415.4254905563</v>
      </c>
      <c r="P29" s="107"/>
      <c r="Q29" s="107"/>
      <c r="R29" s="107"/>
      <c r="S29" s="107"/>
      <c r="T29" s="107"/>
      <c r="U29" s="107"/>
      <c r="V29" s="107"/>
      <c r="W29" s="107"/>
      <c r="X29" s="107"/>
      <c r="Y29" s="107"/>
      <c r="Z29" s="107"/>
      <c r="AA29" s="107"/>
      <c r="AB29" s="107"/>
      <c r="AC29" s="107"/>
      <c r="AD29" s="106">
        <f>AVERAGE([1]cheese!E23,'[1]plant-based dairy'!E26)</f>
        <v>-3.73290443238713E-3</v>
      </c>
      <c r="AE29" s="107"/>
      <c r="AF29" s="107"/>
      <c r="AG29" s="107"/>
      <c r="AH29" s="107"/>
      <c r="AI29" s="107"/>
      <c r="AU29" s="107"/>
      <c r="AV29" s="107"/>
      <c r="AW29" s="107"/>
      <c r="AX29" s="107"/>
      <c r="AY29" s="107"/>
      <c r="AZ29" s="107"/>
      <c r="BA29" s="107"/>
      <c r="BB29" s="107"/>
      <c r="BC29" s="107"/>
    </row>
    <row r="30" spans="1:55" ht="25" customHeight="1" x14ac:dyDescent="0.35">
      <c r="A30" s="124" t="s">
        <v>31</v>
      </c>
      <c r="B30" s="120"/>
      <c r="C30" s="120"/>
      <c r="D30" s="120"/>
      <c r="E30" s="120"/>
      <c r="F30" s="120"/>
      <c r="G30" s="120"/>
      <c r="H30" s="125">
        <v>15440.3</v>
      </c>
      <c r="I30" s="126">
        <f>(1+I32)*(1+I34)-1</f>
        <v>6.8322959737758593E-2</v>
      </c>
      <c r="J30" s="126">
        <f>(1+J32)*(1+J34)*(1-J35)-1</f>
        <v>1.1141949958578756E-2</v>
      </c>
      <c r="K30" s="126">
        <f t="shared" ref="K30:O30" si="54">(1+K32)*(1+K34)*(1-K35)-1</f>
        <v>1.2255555503945192E-2</v>
      </c>
      <c r="L30" s="126">
        <f t="shared" si="54"/>
        <v>1.3415213403475068E-2</v>
      </c>
      <c r="M30" s="126">
        <f t="shared" si="54"/>
        <v>1.4622828119060127E-2</v>
      </c>
      <c r="N30" s="126">
        <f t="shared" si="54"/>
        <v>1.5880382870240295E-2</v>
      </c>
      <c r="O30" s="126">
        <f t="shared" si="54"/>
        <v>1.7189942891169929E-2</v>
      </c>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row>
    <row r="31" spans="1:55" s="140" customFormat="1" ht="25" customHeight="1" x14ac:dyDescent="0.35">
      <c r="A31" s="124" t="s">
        <v>57</v>
      </c>
      <c r="B31" s="124">
        <v>34739.199999999997</v>
      </c>
      <c r="C31" s="124">
        <v>38142.300000000003</v>
      </c>
      <c r="D31" s="124">
        <v>39770.6</v>
      </c>
      <c r="E31" s="124">
        <v>37650.6</v>
      </c>
      <c r="F31" s="124">
        <v>40703.199999999997</v>
      </c>
      <c r="G31" s="124">
        <v>42920.4</v>
      </c>
      <c r="H31" s="124">
        <v>44003.3</v>
      </c>
      <c r="I31" s="130"/>
      <c r="J31" s="130"/>
      <c r="K31" s="130"/>
      <c r="L31" s="130"/>
      <c r="M31" s="127"/>
      <c r="N31" s="127"/>
      <c r="O31" s="127"/>
      <c r="P31" s="107"/>
      <c r="Q31" s="107"/>
      <c r="R31" s="107"/>
      <c r="S31" s="107"/>
      <c r="T31" s="107"/>
      <c r="U31" s="107"/>
      <c r="V31" s="107"/>
      <c r="W31" s="107"/>
      <c r="X31" s="107"/>
      <c r="Y31" s="107"/>
      <c r="Z31" s="111"/>
      <c r="AA31" s="111"/>
      <c r="AB31" s="111"/>
      <c r="AC31" s="111"/>
      <c r="AD31" s="106" t="e">
        <f>#REF!/#REF!-1</f>
        <v>#REF!</v>
      </c>
      <c r="AE31" s="106" t="e">
        <f>Z25/#REF!-1</f>
        <v>#REF!</v>
      </c>
      <c r="AF31" s="106" t="e">
        <f>AA25/Z25-1</f>
        <v>#DIV/0!</v>
      </c>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row>
    <row r="32" spans="1:55" ht="25" customHeight="1" x14ac:dyDescent="0.35">
      <c r="A32" s="127" t="s">
        <v>37</v>
      </c>
      <c r="B32" s="127">
        <f>AVERAGE(C32:H32)</f>
        <v>4.1354278770204533E-2</v>
      </c>
      <c r="C32" s="126">
        <f>C31/B31-1</f>
        <v>9.7961380803242681E-2</v>
      </c>
      <c r="D32" s="126">
        <f t="shared" ref="D32" si="55">D31/C31-1</f>
        <v>4.2690136672408174E-2</v>
      </c>
      <c r="E32" s="126">
        <f>E31/D31-1</f>
        <v>-5.3305708236737748E-2</v>
      </c>
      <c r="F32" s="126">
        <f t="shared" ref="F32:H32" si="56">F31/E31-1</f>
        <v>8.1077061188931987E-2</v>
      </c>
      <c r="G32" s="126">
        <f t="shared" si="56"/>
        <v>5.4472375636313686E-2</v>
      </c>
      <c r="H32" s="126">
        <f t="shared" si="56"/>
        <v>2.5230426557068419E-2</v>
      </c>
      <c r="I32" s="127">
        <f>H32*(1+$B$32)</f>
        <v>2.6273812650400599E-2</v>
      </c>
      <c r="J32" s="127">
        <f t="shared" ref="J32:O32" si="57">I32*(1+$B$32)</f>
        <v>2.7360347223101392E-2</v>
      </c>
      <c r="K32" s="127">
        <f t="shared" si="57"/>
        <v>2.849181464941512E-2</v>
      </c>
      <c r="L32" s="127">
        <f t="shared" si="57"/>
        <v>2.967007309509603E-2</v>
      </c>
      <c r="M32" s="127">
        <f t="shared" si="57"/>
        <v>3.0897057569002979E-2</v>
      </c>
      <c r="N32" s="127">
        <f t="shared" si="57"/>
        <v>3.2174783100890586E-2</v>
      </c>
      <c r="O32" s="127">
        <f t="shared" si="57"/>
        <v>3.3505348050615683E-2</v>
      </c>
      <c r="P32" s="107"/>
      <c r="Q32" s="107"/>
      <c r="R32" s="107"/>
      <c r="S32" s="107"/>
      <c r="T32" s="107"/>
      <c r="U32" s="107"/>
      <c r="V32" s="107"/>
      <c r="W32" s="107"/>
      <c r="X32" s="107"/>
      <c r="Y32" s="107"/>
      <c r="Z32" s="182"/>
      <c r="AA32" s="107"/>
      <c r="AB32" s="107">
        <v>4.7</v>
      </c>
      <c r="AC32" s="108">
        <f>AB32/SUM(AB32,AB33)</f>
        <v>0.5053763440860215</v>
      </c>
      <c r="AD32" s="107" t="e">
        <f>SUM(AB31:AF31)/5</f>
        <v>#REF!</v>
      </c>
      <c r="AE32" s="107"/>
      <c r="AF32" s="107"/>
      <c r="AG32" s="107"/>
      <c r="AH32" s="107"/>
      <c r="AI32" s="107"/>
      <c r="AJ32" s="107"/>
      <c r="AK32" s="107"/>
      <c r="AL32" s="107"/>
      <c r="AM32" s="110">
        <v>2018</v>
      </c>
      <c r="AN32" s="110">
        <v>2019</v>
      </c>
      <c r="AO32" s="110">
        <v>2020</v>
      </c>
      <c r="AP32" s="110">
        <v>2021</v>
      </c>
      <c r="AQ32" s="110">
        <v>2022</v>
      </c>
      <c r="AR32" s="110" t="s">
        <v>50</v>
      </c>
      <c r="AS32" s="107"/>
      <c r="AT32" s="107"/>
      <c r="AU32" s="107"/>
      <c r="AV32" s="107"/>
      <c r="AW32" s="107"/>
      <c r="AX32" s="107"/>
      <c r="AY32" s="107"/>
      <c r="AZ32" s="107"/>
      <c r="BA32" s="107"/>
      <c r="BB32" s="107"/>
      <c r="BC32" s="107"/>
    </row>
    <row r="33" spans="1:55" ht="25" customHeight="1" x14ac:dyDescent="0.35">
      <c r="A33" s="124" t="s">
        <v>40</v>
      </c>
      <c r="B33" s="124">
        <v>3.19</v>
      </c>
      <c r="C33" s="124">
        <v>3.15</v>
      </c>
      <c r="D33" s="124">
        <v>3.39</v>
      </c>
      <c r="E33" s="124">
        <v>3.4</v>
      </c>
      <c r="F33" s="124">
        <v>3.62</v>
      </c>
      <c r="G33" s="124">
        <v>3.89</v>
      </c>
      <c r="H33" s="127"/>
      <c r="I33" s="127"/>
      <c r="J33" s="127"/>
      <c r="K33" s="127"/>
      <c r="L33" s="127"/>
      <c r="M33" s="127"/>
      <c r="N33" s="127"/>
      <c r="O33" s="127"/>
      <c r="P33" s="107"/>
      <c r="Q33" s="107"/>
      <c r="R33" s="107"/>
      <c r="S33" s="107"/>
      <c r="T33" s="107"/>
      <c r="U33" s="107"/>
      <c r="V33" s="107"/>
      <c r="W33" s="107"/>
      <c r="X33" s="107"/>
      <c r="Y33" s="107"/>
      <c r="Z33" s="107"/>
      <c r="AA33" s="107"/>
      <c r="AB33" s="107">
        <v>4.5999999999999996</v>
      </c>
      <c r="AC33" s="107"/>
      <c r="AD33" s="107"/>
      <c r="AE33" s="107"/>
      <c r="AF33" s="107"/>
      <c r="AG33" s="107"/>
      <c r="AH33" s="107"/>
      <c r="AI33" s="107"/>
      <c r="AJ33" s="107"/>
      <c r="AK33" s="107"/>
      <c r="AL33" s="107" t="s">
        <v>58</v>
      </c>
      <c r="AM33" s="107">
        <v>31</v>
      </c>
      <c r="AN33" s="107">
        <v>32</v>
      </c>
      <c r="AO33" s="107">
        <v>34</v>
      </c>
      <c r="AP33" s="107">
        <v>37</v>
      </c>
      <c r="AQ33" s="107">
        <v>39</v>
      </c>
      <c r="AR33" s="107">
        <v>42</v>
      </c>
      <c r="AS33" s="107"/>
      <c r="AT33" s="107"/>
      <c r="AU33" s="107"/>
      <c r="AV33" s="107"/>
      <c r="AW33" s="107"/>
      <c r="AX33" s="107"/>
      <c r="AY33" s="107"/>
      <c r="AZ33" s="107"/>
      <c r="BA33" s="107"/>
      <c r="BB33" s="107"/>
      <c r="BC33" s="107"/>
    </row>
    <row r="34" spans="1:55" ht="25" customHeight="1" x14ac:dyDescent="0.35">
      <c r="A34" s="127">
        <f>AVERAGE(C34:G34)</f>
        <v>4.1178532291386016E-2</v>
      </c>
      <c r="B34" s="124"/>
      <c r="C34" s="126">
        <f>C33/B33-1</f>
        <v>-1.2539184952978122E-2</v>
      </c>
      <c r="D34" s="126">
        <f t="shared" ref="D34" si="58">D33/C33-1</f>
        <v>7.6190476190476364E-2</v>
      </c>
      <c r="E34" s="126">
        <f>E33/D33-1</f>
        <v>2.9498525073745618E-3</v>
      </c>
      <c r="F34" s="126">
        <f t="shared" ref="F34:G34" si="59">F33/E33-1</f>
        <v>6.4705882352941169E-2</v>
      </c>
      <c r="G34" s="126">
        <f t="shared" si="59"/>
        <v>7.4585635359116109E-2</v>
      </c>
      <c r="H34" s="127">
        <f>AVERAGE($C$22:$G$22)</f>
        <v>4.1178532291386016E-2</v>
      </c>
      <c r="I34" s="127">
        <f>H34*(1-0.5%)</f>
        <v>4.0972639629929086E-2</v>
      </c>
      <c r="J34" s="127">
        <f t="shared" ref="J34:O34" si="60">AVERAGE($C$10:$G$10)</f>
        <v>4.1178532291386016E-2</v>
      </c>
      <c r="K34" s="127">
        <f t="shared" si="60"/>
        <v>4.1178532291386016E-2</v>
      </c>
      <c r="L34" s="127">
        <f t="shared" si="60"/>
        <v>4.1178532291386016E-2</v>
      </c>
      <c r="M34" s="127">
        <f t="shared" si="60"/>
        <v>4.1178532291386016E-2</v>
      </c>
      <c r="N34" s="127">
        <f t="shared" si="60"/>
        <v>4.1178532291386016E-2</v>
      </c>
      <c r="O34" s="127">
        <f t="shared" si="60"/>
        <v>4.1178532291386016E-2</v>
      </c>
      <c r="P34" s="107"/>
      <c r="Q34" s="107"/>
      <c r="R34" s="107"/>
      <c r="S34" s="107"/>
      <c r="T34" s="107"/>
      <c r="U34" s="107"/>
      <c r="V34" s="107"/>
      <c r="W34" s="107"/>
      <c r="X34" s="107"/>
      <c r="Y34" s="107"/>
      <c r="Z34" s="107"/>
      <c r="AA34" s="107"/>
      <c r="AB34" s="107">
        <f>SUM(AB33,AB32)</f>
        <v>9.3000000000000007</v>
      </c>
      <c r="AC34" s="107"/>
      <c r="AD34" s="106" t="e">
        <f>#REF!/#REF!-1</f>
        <v>#REF!</v>
      </c>
      <c r="AE34" s="106" t="e">
        <f>Z34/#REF!-1</f>
        <v>#REF!</v>
      </c>
      <c r="AF34" s="106" t="e">
        <f>AA34/Z34-1</f>
        <v>#DIV/0!</v>
      </c>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row>
    <row r="35" spans="1:55" ht="25" customHeight="1" x14ac:dyDescent="0.35">
      <c r="A35" s="127" t="s">
        <v>59</v>
      </c>
      <c r="B35" s="127">
        <f>'Biscuit share'!M33</f>
        <v>5.4712044460185086E-2</v>
      </c>
      <c r="C35" s="127">
        <f>B35</f>
        <v>5.4712044460185086E-2</v>
      </c>
      <c r="D35" s="127">
        <f t="shared" ref="D35:I35" si="61">C35</f>
        <v>5.4712044460185086E-2</v>
      </c>
      <c r="E35" s="127">
        <f t="shared" si="61"/>
        <v>5.4712044460185086E-2</v>
      </c>
      <c r="F35" s="127">
        <f t="shared" si="61"/>
        <v>5.4712044460185086E-2</v>
      </c>
      <c r="G35" s="127">
        <f t="shared" si="61"/>
        <v>5.4712044460185086E-2</v>
      </c>
      <c r="H35" s="127">
        <f t="shared" si="61"/>
        <v>5.4712044460185086E-2</v>
      </c>
      <c r="I35" s="127">
        <f t="shared" si="61"/>
        <v>5.4712044460185086E-2</v>
      </c>
      <c r="J35" s="127">
        <f>H35</f>
        <v>5.4712044460185086E-2</v>
      </c>
      <c r="K35" s="127">
        <f t="shared" ref="K35:O35" si="62">I35</f>
        <v>5.4712044460185086E-2</v>
      </c>
      <c r="L35" s="127">
        <f t="shared" si="62"/>
        <v>5.4712044460185086E-2</v>
      </c>
      <c r="M35" s="127">
        <f t="shared" si="62"/>
        <v>5.4712044460185086E-2</v>
      </c>
      <c r="N35" s="127">
        <f t="shared" si="62"/>
        <v>5.4712044460185086E-2</v>
      </c>
      <c r="O35" s="127">
        <f t="shared" si="62"/>
        <v>5.4712044460185086E-2</v>
      </c>
      <c r="P35" s="107"/>
      <c r="Q35" s="107"/>
      <c r="R35" s="107"/>
      <c r="S35" s="107"/>
      <c r="T35" s="107"/>
      <c r="U35" s="107"/>
      <c r="V35" s="107"/>
      <c r="W35" s="107"/>
      <c r="X35" s="107"/>
      <c r="Y35" s="107"/>
      <c r="Z35" s="107"/>
      <c r="AA35" s="107"/>
      <c r="AB35" s="107"/>
      <c r="AC35" s="107"/>
      <c r="AD35" s="107" t="e">
        <f>SUM(AB34:AF34)/5</f>
        <v>#REF!</v>
      </c>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row>
    <row r="36" spans="1:55" ht="25" customHeight="1" x14ac:dyDescent="0.35">
      <c r="A36" s="120" t="s">
        <v>8</v>
      </c>
      <c r="B36" s="120"/>
      <c r="C36" s="120"/>
      <c r="D36" s="120"/>
      <c r="E36" s="120"/>
      <c r="F36" s="120"/>
      <c r="G36" s="120"/>
      <c r="H36" s="121"/>
      <c r="I36" s="121">
        <f>'PHP Requirement'!D6</f>
        <v>268.6023888888887</v>
      </c>
      <c r="J36" s="275">
        <f>I36*(1+J37/2)</f>
        <v>272.81083398310022</v>
      </c>
      <c r="K36" s="275">
        <f t="shared" ref="K36" si="63">J36*(1+K37/2)</f>
        <v>276.97604811346969</v>
      </c>
      <c r="L36" s="275">
        <f t="shared" ref="L36" si="64">K36*(1+L37/2)</f>
        <v>281.09685117484503</v>
      </c>
      <c r="M36" s="275">
        <f t="shared" ref="M36" si="65">L36*(1+M37/2)</f>
        <v>285.17215086001812</v>
      </c>
      <c r="N36" s="275">
        <f t="shared" ref="N36" si="66">M36*(1+N37/2)</f>
        <v>289.20094063951092</v>
      </c>
      <c r="O36" s="275">
        <f t="shared" ref="O36" si="67">N36*(1+O37/2)</f>
        <v>293.18229764166898</v>
      </c>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row>
    <row r="37" spans="1:55" ht="25" customHeight="1" x14ac:dyDescent="0.35">
      <c r="A37" s="124" t="s">
        <v>31</v>
      </c>
      <c r="B37" s="126">
        <f>B38</f>
        <v>5.3093466162770699E-2</v>
      </c>
      <c r="C37" s="126">
        <f t="shared" ref="C37:G37" si="68">C38</f>
        <v>2.3920653442240401E-2</v>
      </c>
      <c r="D37" s="126">
        <f t="shared" si="68"/>
        <v>2.3931623931624003E-2</v>
      </c>
      <c r="E37" s="126">
        <f t="shared" si="68"/>
        <v>3.9271802210033201E-2</v>
      </c>
      <c r="F37" s="126">
        <f t="shared" si="68"/>
        <v>5.8211581121395496E-2</v>
      </c>
      <c r="G37" s="126">
        <f t="shared" si="68"/>
        <v>5.9780251554140899E-2</v>
      </c>
      <c r="H37" s="126">
        <f>H38</f>
        <v>3.3000000000000002E-2</v>
      </c>
      <c r="I37" s="126">
        <f>H37*(1-$B$15)</f>
        <v>3.2157173222703082E-2</v>
      </c>
      <c r="J37" s="126">
        <f>I37*(1-$B$15)</f>
        <v>3.1335872414391883E-2</v>
      </c>
      <c r="K37" s="126">
        <f>J37*(1-$B$15)</f>
        <v>3.0535547797397661E-2</v>
      </c>
      <c r="L37" s="126">
        <f>K37*(1-$B$15)</f>
        <v>2.9755663635486245E-2</v>
      </c>
      <c r="M37" s="126">
        <f>L37*(1-$B$15)</f>
        <v>2.8995697875236912E-2</v>
      </c>
      <c r="N37" s="126">
        <f t="shared" ref="N37:O37" si="69">M37*(1-$B$15)</f>
        <v>2.8255141796580518E-2</v>
      </c>
      <c r="O37" s="126">
        <f t="shared" si="69"/>
        <v>2.753349967226296E-2</v>
      </c>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row>
    <row r="38" spans="1:55" ht="25" customHeight="1" x14ac:dyDescent="0.35">
      <c r="A38" s="124" t="s">
        <v>45</v>
      </c>
      <c r="B38" s="126">
        <v>5.3093466162770699E-2</v>
      </c>
      <c r="C38" s="126">
        <v>2.3920653442240401E-2</v>
      </c>
      <c r="D38" s="126">
        <v>2.3931623931624003E-2</v>
      </c>
      <c r="E38" s="126">
        <v>3.9271802210033201E-2</v>
      </c>
      <c r="F38" s="126">
        <v>5.8211581121395496E-2</v>
      </c>
      <c r="G38" s="126">
        <v>5.9780251554140899E-2</v>
      </c>
      <c r="H38" s="130">
        <v>3.3000000000000002E-2</v>
      </c>
      <c r="I38" s="130">
        <v>0.03</v>
      </c>
      <c r="J38" s="130">
        <v>0.03</v>
      </c>
      <c r="K38" s="130">
        <v>0.03</v>
      </c>
      <c r="L38" s="130">
        <v>0.03</v>
      </c>
      <c r="M38" s="127">
        <v>0.03</v>
      </c>
      <c r="N38" s="127">
        <v>0.03</v>
      </c>
      <c r="O38" s="127">
        <v>0.03</v>
      </c>
      <c r="P38" s="107"/>
      <c r="Q38" s="107"/>
      <c r="R38" s="107"/>
      <c r="S38" s="107"/>
      <c r="T38" s="107"/>
      <c r="U38" s="107"/>
      <c r="V38" s="107"/>
      <c r="W38" s="107"/>
      <c r="X38" s="107"/>
      <c r="Y38" s="107"/>
      <c r="Z38" s="107"/>
      <c r="AA38" s="107"/>
      <c r="AB38" s="107"/>
      <c r="AC38" s="107"/>
      <c r="AD38" s="107">
        <v>6</v>
      </c>
      <c r="AE38" s="107">
        <v>6</v>
      </c>
      <c r="AF38" s="107">
        <v>5</v>
      </c>
      <c r="AG38" s="107">
        <v>5</v>
      </c>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row>
    <row r="39" spans="1:55" ht="25" customHeight="1" x14ac:dyDescent="0.35">
      <c r="A39" s="120" t="s">
        <v>46</v>
      </c>
      <c r="B39" s="277">
        <f>AVERAGE(C39:H39)</f>
        <v>2.5540205372633962E-2</v>
      </c>
      <c r="C39" s="277">
        <f>C38/B38-1</f>
        <v>-0.54946144655717288</v>
      </c>
      <c r="D39" s="277">
        <f t="shared" ref="D39:H39" si="70">D38/C38-1</f>
        <v>4.5861997081697581E-4</v>
      </c>
      <c r="E39" s="277">
        <f t="shared" si="70"/>
        <v>0.64100030663352525</v>
      </c>
      <c r="F39" s="277">
        <f t="shared" si="70"/>
        <v>0.48227424883810244</v>
      </c>
      <c r="G39" s="277">
        <f t="shared" si="70"/>
        <v>2.694773793335159E-2</v>
      </c>
      <c r="H39" s="277">
        <f t="shared" si="70"/>
        <v>-0.4479782345828196</v>
      </c>
      <c r="I39" s="121">
        <f t="shared" ref="I39:O39" si="71">I29*I36</f>
        <v>998663681.88888812</v>
      </c>
      <c r="J39" s="121">
        <f t="shared" si="71"/>
        <v>1025612079.5965258</v>
      </c>
      <c r="K39" s="121">
        <f t="shared" si="71"/>
        <v>1054032246.1585945</v>
      </c>
      <c r="L39" s="121">
        <f t="shared" si="71"/>
        <v>1084064401.710182</v>
      </c>
      <c r="M39" s="121">
        <f t="shared" si="71"/>
        <v>1115862912.2297313</v>
      </c>
      <c r="N39" s="121">
        <f t="shared" si="71"/>
        <v>1149598020.1342671</v>
      </c>
      <c r="O39" s="121">
        <f t="shared" si="71"/>
        <v>1185457824.7650878</v>
      </c>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row>
    <row r="40" spans="1:55" ht="25" customHeight="1" x14ac:dyDescent="0.35">
      <c r="A40" s="373" t="s">
        <v>5</v>
      </c>
      <c r="B40" s="374"/>
      <c r="C40" s="374"/>
      <c r="D40" s="374"/>
      <c r="E40" s="374"/>
      <c r="F40" s="374"/>
      <c r="G40" s="374"/>
      <c r="H40" s="374"/>
      <c r="I40" s="374"/>
      <c r="J40" s="374"/>
      <c r="K40" s="374"/>
      <c r="L40" s="374"/>
      <c r="M40" s="374"/>
      <c r="N40" s="374"/>
      <c r="O40" s="375"/>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row>
    <row r="41" spans="1:55" ht="25" customHeight="1" x14ac:dyDescent="0.35">
      <c r="A41" s="120" t="s">
        <v>7</v>
      </c>
      <c r="B41" s="120"/>
      <c r="C41" s="120"/>
      <c r="D41" s="120"/>
      <c r="E41" s="120"/>
      <c r="F41" s="120"/>
      <c r="G41" s="120"/>
      <c r="H41" s="121"/>
      <c r="I41" s="121">
        <f>'[2]PHP Requirement'!F5</f>
        <v>1133000</v>
      </c>
      <c r="J41" s="275">
        <f>I41*(1+J42)</f>
        <v>1177571.6184087007</v>
      </c>
      <c r="K41" s="275">
        <f t="shared" ref="K41:O41" si="72">J41*(1+K42)</f>
        <v>1231542.9371546488</v>
      </c>
      <c r="L41" s="275">
        <f t="shared" si="72"/>
        <v>1296697.0991489172</v>
      </c>
      <c r="M41" s="275">
        <f t="shared" si="72"/>
        <v>1375285.1470040227</v>
      </c>
      <c r="N41" s="275">
        <f t="shared" si="72"/>
        <v>1470172.0444348566</v>
      </c>
      <c r="O41" s="275">
        <f t="shared" si="72"/>
        <v>1585036.1289905501</v>
      </c>
      <c r="P41" s="107"/>
      <c r="Q41" s="107"/>
      <c r="R41" s="107"/>
      <c r="S41" s="107"/>
      <c r="T41" s="107"/>
      <c r="U41" s="107"/>
      <c r="V41" s="107"/>
      <c r="W41" s="107"/>
      <c r="X41" s="107"/>
      <c r="Y41" s="107"/>
      <c r="Z41" s="107"/>
      <c r="AA41" s="107"/>
      <c r="AB41" s="107"/>
      <c r="AC41" s="107"/>
      <c r="AD41" s="106" t="e">
        <f>AVERAGE(#REF!)</f>
        <v>#REF!</v>
      </c>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row>
    <row r="42" spans="1:55" ht="25" customHeight="1" x14ac:dyDescent="0.35">
      <c r="A42" s="124" t="s">
        <v>31</v>
      </c>
      <c r="B42" s="120"/>
      <c r="C42" s="120"/>
      <c r="D42" s="120"/>
      <c r="E42" s="120"/>
      <c r="F42" s="120"/>
      <c r="G42" s="120"/>
      <c r="H42" s="125">
        <v>15440.3</v>
      </c>
      <c r="I42" s="126">
        <f>(1+I44)*(1+I46)-1</f>
        <v>0.11305054743886433</v>
      </c>
      <c r="J42" s="126">
        <f>(1+J44)*(1+J46)*(1-J47)-1</f>
        <v>3.9339469027979357E-2</v>
      </c>
      <c r="K42" s="126">
        <f t="shared" ref="K42:O42" si="73">(1+K44)*(1+K46)*(1-K47)-1</f>
        <v>4.5832727200814993E-2</v>
      </c>
      <c r="L42" s="126">
        <f t="shared" si="73"/>
        <v>5.2904498924576826E-2</v>
      </c>
      <c r="M42" s="126">
        <f t="shared" si="73"/>
        <v>6.0606326571322144E-2</v>
      </c>
      <c r="N42" s="126">
        <f t="shared" si="73"/>
        <v>6.8994344654662587E-2</v>
      </c>
      <c r="O42" s="126">
        <f t="shared" si="73"/>
        <v>7.8129688964292621E-2</v>
      </c>
      <c r="P42" s="107"/>
      <c r="Q42" s="107"/>
      <c r="R42" s="107"/>
      <c r="S42" s="107"/>
      <c r="T42" s="107"/>
      <c r="U42" s="107"/>
      <c r="V42" s="107"/>
      <c r="W42" s="107"/>
      <c r="X42" s="107"/>
      <c r="Y42" s="107"/>
      <c r="Z42" s="107"/>
      <c r="AA42" s="107" t="s">
        <v>60</v>
      </c>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row>
    <row r="43" spans="1:55" ht="25" customHeight="1" x14ac:dyDescent="0.35">
      <c r="A43" s="124" t="s">
        <v>61</v>
      </c>
      <c r="B43" s="124">
        <v>13267.8</v>
      </c>
      <c r="C43" s="124">
        <v>14684</v>
      </c>
      <c r="D43" s="124">
        <v>16463.599999999999</v>
      </c>
      <c r="E43" s="124">
        <v>17617.2</v>
      </c>
      <c r="F43" s="124">
        <v>20064</v>
      </c>
      <c r="G43" s="124">
        <v>20748.2</v>
      </c>
      <c r="H43" s="124">
        <v>22067.3</v>
      </c>
      <c r="I43" s="130"/>
      <c r="J43" s="130"/>
      <c r="K43" s="130"/>
      <c r="L43" s="130"/>
      <c r="M43" s="127"/>
      <c r="N43" s="127"/>
      <c r="O43" s="12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row>
    <row r="44" spans="1:55" ht="25" customHeight="1" x14ac:dyDescent="0.35">
      <c r="A44" s="127" t="s">
        <v>37</v>
      </c>
      <c r="B44" s="127">
        <f>AVERAGE(C44:H44)</f>
        <v>8.9094493939380445E-2</v>
      </c>
      <c r="C44" s="126">
        <f>C43/B43-1</f>
        <v>0.10673962525814384</v>
      </c>
      <c r="D44" s="126">
        <f t="shared" ref="D44" si="74">D43/C43-1</f>
        <v>0.1211931353854534</v>
      </c>
      <c r="E44" s="126">
        <f>E43/D43-1</f>
        <v>7.0069729585267027E-2</v>
      </c>
      <c r="F44" s="126">
        <f t="shared" ref="F44:G44" si="75">F43/E43-1</f>
        <v>0.13888699679858307</v>
      </c>
      <c r="G44" s="126">
        <f t="shared" si="75"/>
        <v>3.4100877192982493E-2</v>
      </c>
      <c r="H44" s="126">
        <f>H43/G43-1</f>
        <v>6.3576599415852808E-2</v>
      </c>
      <c r="I44" s="127">
        <f>H44*(1+$B$44)</f>
        <v>6.9240924367194923E-2</v>
      </c>
      <c r="J44" s="127">
        <f>I44*(1+$B$44)</f>
        <v>7.5409909483585072E-2</v>
      </c>
      <c r="K44" s="127">
        <f>J44*(1+$B$44)</f>
        <v>8.2128517207039578E-2</v>
      </c>
      <c r="L44" s="127">
        <f t="shared" ref="L44:O44" si="76">K44*(1+$B$44)</f>
        <v>8.9445715885592469E-2</v>
      </c>
      <c r="M44" s="127">
        <f t="shared" si="76"/>
        <v>9.7414836677464936E-2</v>
      </c>
      <c r="N44" s="127">
        <f t="shared" si="76"/>
        <v>0.10609396225343108</v>
      </c>
      <c r="O44" s="127">
        <f t="shared" si="76"/>
        <v>0.11554635013042426</v>
      </c>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row>
    <row r="45" spans="1:55" ht="25" customHeight="1" x14ac:dyDescent="0.35">
      <c r="A45" s="124" t="s">
        <v>40</v>
      </c>
      <c r="B45" s="124">
        <v>3.19</v>
      </c>
      <c r="C45" s="124">
        <v>3.15</v>
      </c>
      <c r="D45" s="124">
        <v>3.39</v>
      </c>
      <c r="E45" s="124">
        <v>3.4</v>
      </c>
      <c r="F45" s="124">
        <v>3.62</v>
      </c>
      <c r="G45" s="124">
        <v>3.89</v>
      </c>
      <c r="H45" s="127"/>
      <c r="I45" s="127"/>
      <c r="J45" s="127"/>
      <c r="K45" s="127"/>
      <c r="L45" s="127"/>
      <c r="M45" s="127"/>
      <c r="N45" s="127"/>
      <c r="O45" s="12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row>
    <row r="46" spans="1:55" ht="91.5" customHeight="1" x14ac:dyDescent="0.35">
      <c r="A46" s="127">
        <f>AVERAGE(C46:G46)</f>
        <v>4.1178532291386016E-2</v>
      </c>
      <c r="B46" s="124"/>
      <c r="C46" s="126">
        <f>C45/B45-1</f>
        <v>-1.2539184952978122E-2</v>
      </c>
      <c r="D46" s="126">
        <f t="shared" ref="D46" si="77">D45/C45-1</f>
        <v>7.6190476190476364E-2</v>
      </c>
      <c r="E46" s="126">
        <f>E45/D45-1</f>
        <v>2.9498525073745618E-3</v>
      </c>
      <c r="F46" s="126">
        <f t="shared" ref="F46:G46" si="78">F45/E45-1</f>
        <v>6.4705882352941169E-2</v>
      </c>
      <c r="G46" s="126">
        <f t="shared" si="78"/>
        <v>7.4585635359116109E-2</v>
      </c>
      <c r="H46" s="127">
        <f>AVERAGE($C$22:$G$22)</f>
        <v>4.1178532291386016E-2</v>
      </c>
      <c r="I46" s="127">
        <f>H46*(1-0.5%)</f>
        <v>4.0972639629929086E-2</v>
      </c>
      <c r="J46" s="127">
        <f t="shared" ref="J46:O46" si="79">AVERAGE($C$10:$G$10)</f>
        <v>4.1178532291386016E-2</v>
      </c>
      <c r="K46" s="127">
        <f t="shared" si="79"/>
        <v>4.1178532291386016E-2</v>
      </c>
      <c r="L46" s="127">
        <f t="shared" si="79"/>
        <v>4.1178532291386016E-2</v>
      </c>
      <c r="M46" s="127">
        <f t="shared" si="79"/>
        <v>4.1178532291386016E-2</v>
      </c>
      <c r="N46" s="127">
        <f t="shared" si="79"/>
        <v>4.1178532291386016E-2</v>
      </c>
      <c r="O46" s="127">
        <f t="shared" si="79"/>
        <v>4.1178532291386016E-2</v>
      </c>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row>
    <row r="47" spans="1:55" ht="25" customHeight="1" x14ac:dyDescent="0.35">
      <c r="A47" s="127" t="s">
        <v>62</v>
      </c>
      <c r="B47" s="127">
        <f>'Savoury snacks'!O28</f>
        <v>7.1764484642813944E-2</v>
      </c>
      <c r="C47" s="127">
        <f>B47</f>
        <v>7.1764484642813944E-2</v>
      </c>
      <c r="D47" s="127">
        <f t="shared" ref="D47:O47" si="80">C47</f>
        <v>7.1764484642813944E-2</v>
      </c>
      <c r="E47" s="127">
        <f t="shared" si="80"/>
        <v>7.1764484642813944E-2</v>
      </c>
      <c r="F47" s="127">
        <f t="shared" si="80"/>
        <v>7.1764484642813944E-2</v>
      </c>
      <c r="G47" s="127">
        <f t="shared" si="80"/>
        <v>7.1764484642813944E-2</v>
      </c>
      <c r="H47" s="127">
        <f t="shared" si="80"/>
        <v>7.1764484642813944E-2</v>
      </c>
      <c r="I47" s="127">
        <f t="shared" si="80"/>
        <v>7.1764484642813944E-2</v>
      </c>
      <c r="J47" s="127">
        <f t="shared" si="80"/>
        <v>7.1764484642813944E-2</v>
      </c>
      <c r="K47" s="127">
        <f t="shared" si="80"/>
        <v>7.1764484642813944E-2</v>
      </c>
      <c r="L47" s="127">
        <f t="shared" si="80"/>
        <v>7.1764484642813944E-2</v>
      </c>
      <c r="M47" s="127">
        <f t="shared" si="80"/>
        <v>7.1764484642813944E-2</v>
      </c>
      <c r="N47" s="127">
        <f t="shared" si="80"/>
        <v>7.1764484642813944E-2</v>
      </c>
      <c r="O47" s="127">
        <f t="shared" si="80"/>
        <v>7.1764484642813944E-2</v>
      </c>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row>
    <row r="48" spans="1:55" ht="25" customHeight="1" x14ac:dyDescent="0.35">
      <c r="A48" s="120" t="s">
        <v>8</v>
      </c>
      <c r="B48" s="120"/>
      <c r="C48" s="120"/>
      <c r="D48" s="120"/>
      <c r="E48" s="120"/>
      <c r="F48" s="120"/>
      <c r="G48" s="120"/>
      <c r="H48" s="121"/>
      <c r="I48" s="121">
        <f>'PHP Requirement'!F6</f>
        <v>302.89205555555532</v>
      </c>
      <c r="J48" s="275">
        <f>I48*(1+J49/2)</f>
        <v>307.63774895966617</v>
      </c>
      <c r="K48" s="275">
        <f t="shared" ref="K48" si="81">J48*(1+K49/2)</f>
        <v>312.334692553487</v>
      </c>
      <c r="L48" s="275">
        <f t="shared" ref="L48" si="82">K48*(1+L49/2)</f>
        <v>316.98155558014429</v>
      </c>
      <c r="M48" s="275">
        <f t="shared" ref="M48" si="83">L48*(1+M49/2)</f>
        <v>321.57710628895649</v>
      </c>
      <c r="N48" s="275">
        <f t="shared" ref="N48" si="84">M48*(1+N49/2)</f>
        <v>326.12020965732074</v>
      </c>
      <c r="O48" s="275">
        <f t="shared" ref="O48" si="85">N48*(1+O49/2)</f>
        <v>330.60982500017985</v>
      </c>
      <c r="P48" s="107"/>
      <c r="Q48" s="107"/>
      <c r="R48" s="107"/>
      <c r="S48" s="107"/>
      <c r="T48" s="107"/>
      <c r="U48" s="107"/>
      <c r="V48" s="107"/>
      <c r="W48" s="107"/>
      <c r="X48" s="107"/>
      <c r="Y48" s="107"/>
      <c r="Z48" s="107"/>
      <c r="AA48" s="107"/>
      <c r="AB48" s="107"/>
      <c r="AC48" s="107"/>
      <c r="AD48" s="107">
        <f>AE49/AD49-1</f>
        <v>8.6546586209067522E-2</v>
      </c>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row>
    <row r="49" spans="1:55" ht="25" customHeight="1" x14ac:dyDescent="0.35">
      <c r="A49" s="124" t="s">
        <v>31</v>
      </c>
      <c r="B49" s="126">
        <f>B50</f>
        <v>5.3093466162770699E-2</v>
      </c>
      <c r="C49" s="126">
        <f t="shared" ref="C49:G49" si="86">C50</f>
        <v>2.3920653442240401E-2</v>
      </c>
      <c r="D49" s="126">
        <f t="shared" si="86"/>
        <v>2.3931623931624003E-2</v>
      </c>
      <c r="E49" s="126">
        <f t="shared" si="86"/>
        <v>3.9271802210033201E-2</v>
      </c>
      <c r="F49" s="126">
        <f t="shared" si="86"/>
        <v>5.8211581121395496E-2</v>
      </c>
      <c r="G49" s="126">
        <f t="shared" si="86"/>
        <v>5.9780251554140899E-2</v>
      </c>
      <c r="H49" s="126">
        <f>H50</f>
        <v>3.3000000000000002E-2</v>
      </c>
      <c r="I49" s="126">
        <f>H49*(1-$B$15)</f>
        <v>3.2157173222703082E-2</v>
      </c>
      <c r="J49" s="126">
        <f>I49*(1-$B$15)</f>
        <v>3.1335872414391883E-2</v>
      </c>
      <c r="K49" s="126">
        <f>J49*(1-$B$15)</f>
        <v>3.0535547797397661E-2</v>
      </c>
      <c r="L49" s="126">
        <f>K49*(1-$B$15)</f>
        <v>2.9755663635486245E-2</v>
      </c>
      <c r="M49" s="126">
        <f>L49*(1-$B$15)</f>
        <v>2.8995697875236912E-2</v>
      </c>
      <c r="N49" s="126">
        <f t="shared" ref="N49:O49" si="87">M49*(1-$B$15)</f>
        <v>2.8255141796580518E-2</v>
      </c>
      <c r="O49" s="126">
        <f t="shared" si="87"/>
        <v>2.753349967226296E-2</v>
      </c>
      <c r="P49" s="107"/>
      <c r="Q49" s="107"/>
      <c r="R49" s="107"/>
      <c r="S49" s="107"/>
      <c r="T49" s="107"/>
      <c r="U49" s="107"/>
      <c r="V49" s="107"/>
      <c r="W49" s="107"/>
      <c r="X49" s="107"/>
      <c r="Y49" s="107"/>
      <c r="Z49" s="240"/>
      <c r="AA49" s="240"/>
      <c r="AB49" s="107"/>
      <c r="AC49" s="107"/>
      <c r="AD49" s="38">
        <v>1103472820884</v>
      </c>
      <c r="AE49" s="38">
        <v>1198974626506</v>
      </c>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row>
    <row r="50" spans="1:55" s="145" customFormat="1" ht="25" customHeight="1" x14ac:dyDescent="0.35">
      <c r="A50" s="124" t="s">
        <v>45</v>
      </c>
      <c r="B50" s="126">
        <v>5.3093466162770699E-2</v>
      </c>
      <c r="C50" s="126">
        <v>2.3920653442240401E-2</v>
      </c>
      <c r="D50" s="126">
        <v>2.3931623931624003E-2</v>
      </c>
      <c r="E50" s="126">
        <v>3.9271802210033201E-2</v>
      </c>
      <c r="F50" s="126">
        <v>5.8211581121395496E-2</v>
      </c>
      <c r="G50" s="126">
        <v>5.9780251554140899E-2</v>
      </c>
      <c r="H50" s="130">
        <v>3.3000000000000002E-2</v>
      </c>
      <c r="I50" s="130">
        <v>0.03</v>
      </c>
      <c r="J50" s="130">
        <v>0.03</v>
      </c>
      <c r="K50" s="130">
        <v>0.03</v>
      </c>
      <c r="L50" s="130">
        <v>0.03</v>
      </c>
      <c r="M50" s="127">
        <v>0.03</v>
      </c>
      <c r="N50" s="127">
        <v>0.03</v>
      </c>
      <c r="O50" s="127">
        <v>0.03</v>
      </c>
      <c r="P50" s="107"/>
      <c r="Q50" s="107"/>
      <c r="R50" s="107"/>
      <c r="S50" s="107"/>
      <c r="T50" s="107"/>
      <c r="U50" s="107"/>
      <c r="V50" s="107"/>
      <c r="W50" s="107"/>
      <c r="X50" s="107"/>
      <c r="Y50" s="107"/>
      <c r="Z50" s="107"/>
      <c r="AA50" s="107"/>
      <c r="AB50" s="107"/>
      <c r="AC50" s="236"/>
      <c r="AD50" s="145" t="s">
        <v>63</v>
      </c>
    </row>
    <row r="51" spans="1:55" s="147" customFormat="1" ht="25" customHeight="1" x14ac:dyDescent="0.35">
      <c r="A51" s="120" t="s">
        <v>46</v>
      </c>
      <c r="B51" s="277">
        <f>AVERAGE(C51:H51)</f>
        <v>2.5540205372633962E-2</v>
      </c>
      <c r="C51" s="277">
        <f>C50/B50-1</f>
        <v>-0.54946144655717288</v>
      </c>
      <c r="D51" s="277">
        <f t="shared" ref="D51:H51" si="88">D50/C50-1</f>
        <v>4.5861997081697581E-4</v>
      </c>
      <c r="E51" s="277">
        <f t="shared" si="88"/>
        <v>0.64100030663352525</v>
      </c>
      <c r="F51" s="277">
        <f t="shared" si="88"/>
        <v>0.48227424883810244</v>
      </c>
      <c r="G51" s="277">
        <f t="shared" si="88"/>
        <v>2.694773793335159E-2</v>
      </c>
      <c r="H51" s="277">
        <f t="shared" si="88"/>
        <v>-0.4479782345828196</v>
      </c>
      <c r="I51" s="121">
        <f t="shared" ref="I51:O51" si="89">I41*I48</f>
        <v>343176698.94444418</v>
      </c>
      <c r="J51" s="121">
        <f t="shared" si="89"/>
        <v>362265481.92604369</v>
      </c>
      <c r="K51" s="121">
        <f t="shared" si="89"/>
        <v>384653584.64261562</v>
      </c>
      <c r="L51" s="121">
        <f t="shared" si="89"/>
        <v>411029063.60448438</v>
      </c>
      <c r="M51" s="121">
        <f t="shared" si="89"/>
        <v>442260217.89573574</v>
      </c>
      <c r="N51" s="121">
        <f t="shared" si="89"/>
        <v>479452815.36342728</v>
      </c>
      <c r="O51" s="121">
        <f t="shared" si="89"/>
        <v>524028517.22452825</v>
      </c>
      <c r="P51" s="107"/>
      <c r="Q51" s="107"/>
      <c r="R51" s="107"/>
      <c r="S51" s="107"/>
      <c r="T51" s="107"/>
      <c r="U51" s="107"/>
      <c r="V51" s="107"/>
      <c r="W51" s="107"/>
      <c r="X51" s="107"/>
      <c r="Y51" s="107"/>
      <c r="Z51" s="107"/>
      <c r="AA51" s="107"/>
      <c r="AB51" s="107"/>
      <c r="AC51" s="237"/>
      <c r="AD51" s="146">
        <v>2022</v>
      </c>
      <c r="AE51" s="146">
        <v>2023</v>
      </c>
      <c r="AF51" s="146" t="s">
        <v>64</v>
      </c>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row>
    <row r="52" spans="1:55" s="147" customFormat="1" ht="105" customHeight="1" x14ac:dyDescent="0.35">
      <c r="A52" s="376" t="s">
        <v>13</v>
      </c>
      <c r="B52" s="377"/>
      <c r="C52" s="377"/>
      <c r="D52" s="377"/>
      <c r="E52" s="377"/>
      <c r="F52" s="377"/>
      <c r="G52" s="377"/>
      <c r="H52" s="378"/>
      <c r="I52" s="114">
        <f>SUM(I54,I64,I74,I84)</f>
        <v>998296782.45555472</v>
      </c>
      <c r="J52" s="114">
        <f t="shared" ref="J52:O52" si="90">SUM(J54,J64,J74,J84)</f>
        <v>1003174518.6601636</v>
      </c>
      <c r="K52" s="114">
        <f t="shared" si="90"/>
        <v>988846191.99503565</v>
      </c>
      <c r="L52" s="114">
        <f t="shared" si="90"/>
        <v>1059614003.6662847</v>
      </c>
      <c r="M52" s="114">
        <f t="shared" si="90"/>
        <v>1139624363.9279501</v>
      </c>
      <c r="N52" s="114">
        <f t="shared" si="90"/>
        <v>1230554173.7786045</v>
      </c>
      <c r="O52" s="114">
        <f t="shared" si="90"/>
        <v>1334517289.8273978</v>
      </c>
      <c r="P52" s="107"/>
      <c r="Q52" s="107"/>
      <c r="R52" s="107"/>
      <c r="S52" s="107"/>
      <c r="T52" s="107"/>
      <c r="U52" s="107"/>
      <c r="V52" s="107"/>
      <c r="W52" s="107"/>
      <c r="X52" s="107"/>
      <c r="Y52" s="107"/>
      <c r="Z52" s="107"/>
      <c r="AA52" s="107"/>
      <c r="AB52" s="182" t="s">
        <v>65</v>
      </c>
      <c r="AC52" s="237"/>
      <c r="AD52" s="381" t="s">
        <v>66</v>
      </c>
      <c r="AE52" s="382"/>
      <c r="AF52" s="148" t="e">
        <f>AE52/AD52-1</f>
        <v>#VALUE!</v>
      </c>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row>
    <row r="53" spans="1:55" s="147" customFormat="1" ht="25" customHeight="1" x14ac:dyDescent="0.35">
      <c r="A53" s="373" t="s">
        <v>2</v>
      </c>
      <c r="B53" s="374"/>
      <c r="C53" s="374"/>
      <c r="D53" s="374"/>
      <c r="E53" s="374"/>
      <c r="F53" s="374"/>
      <c r="G53" s="374"/>
      <c r="H53" s="374"/>
      <c r="I53" s="374"/>
      <c r="J53" s="374"/>
      <c r="K53" s="374"/>
      <c r="L53" s="374"/>
      <c r="M53" s="374"/>
      <c r="N53" s="374"/>
      <c r="O53" s="375"/>
      <c r="P53" s="107"/>
      <c r="Q53" s="107"/>
      <c r="R53" s="107"/>
      <c r="S53" s="107"/>
      <c r="T53" s="107"/>
      <c r="U53" s="107"/>
      <c r="V53" s="107"/>
      <c r="W53" s="107"/>
      <c r="X53" s="107"/>
      <c r="Y53" s="107"/>
      <c r="Z53" s="107"/>
      <c r="AA53" s="107"/>
      <c r="AB53" s="287" t="s">
        <v>67</v>
      </c>
      <c r="AC53" s="237"/>
      <c r="AD53" s="379" t="s">
        <v>68</v>
      </c>
      <c r="AE53" s="379"/>
      <c r="AF53" s="148" t="e">
        <f>AE53/AD53-1</f>
        <v>#VALUE!</v>
      </c>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row>
    <row r="54" spans="1:55" s="147" customFormat="1" ht="25" customHeight="1" x14ac:dyDescent="0.35">
      <c r="A54" s="120" t="s">
        <v>69</v>
      </c>
      <c r="B54" s="120"/>
      <c r="C54" s="120"/>
      <c r="D54" s="120"/>
      <c r="E54" s="120"/>
      <c r="F54" s="120"/>
      <c r="G54" s="120"/>
      <c r="H54" s="120"/>
      <c r="I54" s="121">
        <f>I55*I5</f>
        <v>105221271.13333325</v>
      </c>
      <c r="J54" s="121">
        <f>J55*J5</f>
        <v>103845288.77197577</v>
      </c>
      <c r="K54" s="121">
        <f t="shared" ref="K54:O54" si="91">K55*K5</f>
        <v>100390184.80082598</v>
      </c>
      <c r="L54" s="121">
        <f t="shared" si="91"/>
        <v>107839723.3061811</v>
      </c>
      <c r="M54" s="121">
        <f t="shared" si="91"/>
        <v>115853042.81801343</v>
      </c>
      <c r="N54" s="121">
        <f t="shared" si="91"/>
        <v>124488302.71881093</v>
      </c>
      <c r="O54" s="121">
        <f t="shared" si="91"/>
        <v>133817001.36763039</v>
      </c>
      <c r="P54" s="107"/>
      <c r="Q54" s="107"/>
      <c r="R54" s="107"/>
      <c r="S54" s="107"/>
      <c r="T54" s="107"/>
      <c r="U54" s="107"/>
      <c r="V54" s="107"/>
      <c r="W54" s="107"/>
      <c r="X54" s="107"/>
      <c r="Y54" s="107"/>
      <c r="Z54" s="107"/>
      <c r="AA54" s="379" t="s">
        <v>70</v>
      </c>
      <c r="AB54" s="379"/>
      <c r="AC54" s="237"/>
      <c r="AD54" s="379"/>
      <c r="AE54" s="379"/>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row>
    <row r="55" spans="1:55" s="147" customFormat="1" ht="25" customHeight="1" x14ac:dyDescent="0.35">
      <c r="A55" s="120" t="s">
        <v>13</v>
      </c>
      <c r="B55" s="120"/>
      <c r="C55" s="120"/>
      <c r="D55" s="120"/>
      <c r="E55" s="120"/>
      <c r="F55" s="120"/>
      <c r="G55" s="120"/>
      <c r="H55" s="121"/>
      <c r="I55" s="275">
        <f>'PHP Requirement'!C10</f>
        <v>261.74445555555536</v>
      </c>
      <c r="J55" s="275">
        <f>I55*(1+J56)</f>
        <v>256.6084039322642</v>
      </c>
      <c r="K55" s="275">
        <f t="shared" ref="K55:O55" si="92">J55*(1+K56)</f>
        <v>246.44096583512282</v>
      </c>
      <c r="L55" s="275">
        <f t="shared" si="92"/>
        <v>262.98725542255681</v>
      </c>
      <c r="M55" s="275">
        <f t="shared" si="92"/>
        <v>280.64447921763542</v>
      </c>
      <c r="N55" s="275">
        <f t="shared" si="92"/>
        <v>299.48722643911941</v>
      </c>
      <c r="O55" s="275">
        <f t="shared" si="92"/>
        <v>319.59509429950759</v>
      </c>
      <c r="P55" s="107"/>
      <c r="Q55" s="107"/>
      <c r="R55" s="107"/>
      <c r="S55" s="107"/>
      <c r="T55" s="107"/>
      <c r="U55" s="107"/>
      <c r="V55" s="107"/>
      <c r="W55" s="107"/>
      <c r="X55" s="107"/>
      <c r="Y55" s="107"/>
      <c r="Z55" s="107"/>
      <c r="AA55" s="379"/>
      <c r="AB55" s="379"/>
      <c r="AC55" s="237"/>
      <c r="AD55" s="379"/>
      <c r="AE55" s="379"/>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row>
    <row r="56" spans="1:55" s="147" customFormat="1" ht="25" customHeight="1" x14ac:dyDescent="0.35">
      <c r="A56" s="124" t="s">
        <v>31</v>
      </c>
      <c r="B56" s="120"/>
      <c r="C56" s="120"/>
      <c r="D56" s="120"/>
      <c r="E56" s="120"/>
      <c r="F56" s="120"/>
      <c r="G56" s="120"/>
      <c r="H56" s="125">
        <v>15440.3</v>
      </c>
      <c r="I56" s="126">
        <f>(1+I58)*(1+I60)*(1+I62)-1</f>
        <v>-5.9622389373596762E-2</v>
      </c>
      <c r="J56" s="126">
        <f>(1+J58)*(1+J60)*(1+J62)-1+4%</f>
        <v>-1.9622389373596762E-2</v>
      </c>
      <c r="K56" s="126">
        <f>(1+K58)*(1+K60)*(1+K62)-1+2%</f>
        <v>-3.9622389373596759E-2</v>
      </c>
      <c r="L56" s="126">
        <f t="shared" ref="L56:O56" si="93">(1+L58)*(1+L60)*(1+L62)-1</f>
        <v>6.7140986610578324E-2</v>
      </c>
      <c r="M56" s="126">
        <f t="shared" si="93"/>
        <v>6.7140986610578324E-2</v>
      </c>
      <c r="N56" s="126">
        <f t="shared" si="93"/>
        <v>6.7140986610578324E-2</v>
      </c>
      <c r="O56" s="126">
        <f t="shared" si="93"/>
        <v>6.7140986610578324E-2</v>
      </c>
      <c r="P56" s="107"/>
      <c r="Q56" s="107"/>
      <c r="R56" s="107"/>
      <c r="S56" s="107"/>
      <c r="T56" s="107"/>
      <c r="U56" s="107"/>
      <c r="V56" s="107"/>
      <c r="W56" s="107"/>
      <c r="X56" s="107"/>
      <c r="Y56" s="107"/>
      <c r="Z56" s="107"/>
      <c r="AA56" s="379"/>
      <c r="AB56" s="379"/>
      <c r="AC56" s="237"/>
      <c r="AD56" s="379"/>
      <c r="AE56" s="379"/>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row>
    <row r="57" spans="1:55" s="145" customFormat="1" ht="25" customHeight="1" x14ac:dyDescent="0.35">
      <c r="A57" s="124" t="s">
        <v>71</v>
      </c>
      <c r="B57" s="274">
        <f>'[2]Wheat price'!C13</f>
        <v>4.9756765873015887</v>
      </c>
      <c r="C57" s="274">
        <f>'[2]Wheat price'!D13</f>
        <v>4.9413849206349205</v>
      </c>
      <c r="D57" s="274">
        <f>'[2]Wheat price'!E13</f>
        <v>5.4980454545454513</v>
      </c>
      <c r="E57" s="274">
        <f>'[2]Wheat price'!F13</f>
        <v>7.0401862745098018</v>
      </c>
      <c r="F57" s="274">
        <f>'[2]Wheat price'!G13</f>
        <v>9.5239011627907004</v>
      </c>
      <c r="G57" s="274">
        <f>'[2]Wheat price'!H13</f>
        <v>7.2274918287937746</v>
      </c>
      <c r="H57" s="274">
        <f>'[2]Wheat price'!I13</f>
        <v>6.3670274725274725</v>
      </c>
      <c r="I57" s="289">
        <f>H57*(1+I58)</f>
        <v>5.964985918086871</v>
      </c>
      <c r="J57" s="289">
        <f t="shared" ref="J57:O57" si="94">I57*(1+J58)</f>
        <v>5.5883310000624702</v>
      </c>
      <c r="K57" s="289">
        <f>J57*(1+K58)</f>
        <v>5.2354596968227742</v>
      </c>
      <c r="L57" s="289">
        <f t="shared" si="94"/>
        <v>5.5660491852149443</v>
      </c>
      <c r="M57" s="289">
        <f t="shared" si="94"/>
        <v>5.9175135186377661</v>
      </c>
      <c r="N57" s="289">
        <f t="shared" si="94"/>
        <v>6.2911708247702922</v>
      </c>
      <c r="O57" s="289">
        <f t="shared" si="94"/>
        <v>6.6884224635539349</v>
      </c>
      <c r="P57" s="107"/>
      <c r="Q57" s="107"/>
      <c r="R57" s="107"/>
      <c r="S57" s="107"/>
      <c r="T57" s="107"/>
      <c r="U57" s="107"/>
      <c r="V57" s="107"/>
      <c r="W57" s="107"/>
      <c r="X57" s="107"/>
      <c r="Y57" s="107"/>
      <c r="Z57" s="107"/>
      <c r="AA57" s="379"/>
      <c r="AB57" s="379"/>
      <c r="AC57" s="236"/>
      <c r="AD57" s="379"/>
      <c r="AE57" s="379"/>
    </row>
    <row r="58" spans="1:55" s="147" customFormat="1" ht="25" customHeight="1" x14ac:dyDescent="0.35">
      <c r="A58" s="127" t="s">
        <v>72</v>
      </c>
      <c r="B58" s="127">
        <f>AVERAGE(C58:H58)</f>
        <v>6.3144309675957147E-2</v>
      </c>
      <c r="C58" s="126">
        <f>C57/B57-1</f>
        <v>-6.8918600445583289E-3</v>
      </c>
      <c r="D58" s="126">
        <f t="shared" ref="D58" si="95">D57/C57-1</f>
        <v>0.11265273660142339</v>
      </c>
      <c r="E58" s="126">
        <f>E57/D57-1</f>
        <v>0.28048891787342378</v>
      </c>
      <c r="F58" s="126">
        <f t="shared" ref="F58:G58" si="96">F57/E57-1</f>
        <v>0.35279107561025946</v>
      </c>
      <c r="G58" s="126">
        <f t="shared" si="96"/>
        <v>-0.24112065998425691</v>
      </c>
      <c r="H58" s="126">
        <f>H57/G57-1</f>
        <v>-0.11905435200054848</v>
      </c>
      <c r="I58" s="127">
        <f>-B58</f>
        <v>-6.3144309675957147E-2</v>
      </c>
      <c r="J58" s="127">
        <f>-B58</f>
        <v>-6.3144309675957147E-2</v>
      </c>
      <c r="K58" s="127">
        <f>J58</f>
        <v>-6.3144309675957147E-2</v>
      </c>
      <c r="L58" s="127">
        <f>-K58</f>
        <v>6.3144309675957147E-2</v>
      </c>
      <c r="M58" s="127">
        <f t="shared" ref="M58:O58" si="97">L58</f>
        <v>6.3144309675957147E-2</v>
      </c>
      <c r="N58" s="127">
        <f t="shared" si="97"/>
        <v>6.3144309675957147E-2</v>
      </c>
      <c r="O58" s="127">
        <f t="shared" si="97"/>
        <v>6.3144309675957147E-2</v>
      </c>
      <c r="P58" s="107"/>
      <c r="Q58" s="107"/>
      <c r="R58" s="107"/>
      <c r="S58" s="107"/>
      <c r="T58" s="107"/>
      <c r="U58" s="107"/>
      <c r="V58" s="107"/>
      <c r="W58" s="107"/>
      <c r="X58" s="107"/>
      <c r="Y58" s="107"/>
      <c r="Z58" s="107"/>
      <c r="AA58" s="379"/>
      <c r="AB58" s="379"/>
      <c r="AC58" s="237"/>
      <c r="AD58" s="379"/>
      <c r="AE58" s="379"/>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row>
    <row r="59" spans="1:55" s="147" customFormat="1" ht="25" customHeight="1" x14ac:dyDescent="0.35">
      <c r="A59" s="124" t="s">
        <v>66</v>
      </c>
      <c r="B59" s="124">
        <f>'[2]Suagr price'!C13</f>
        <v>0.12253531746031747</v>
      </c>
      <c r="C59" s="124">
        <f>'[2]Suagr price'!D13</f>
        <v>0.12333888888888893</v>
      </c>
      <c r="D59" s="124">
        <f>'[2]Suagr price'!E13</f>
        <v>0.12819525691699604</v>
      </c>
      <c r="E59" s="124">
        <f>'[2]Suagr price'!F13</f>
        <v>0.17712196078431353</v>
      </c>
      <c r="F59" s="124">
        <f>'[2]Suagr price'!G13</f>
        <v>0.18729883720930229</v>
      </c>
      <c r="G59" s="124">
        <f>'[2]Suagr price'!H13</f>
        <v>0.23972490272373539</v>
      </c>
      <c r="H59" s="124">
        <f>'[2]Suagr price'!I13</f>
        <v>0.20599780219780214</v>
      </c>
      <c r="I59" s="124">
        <f>H59*(1+I60)</f>
        <v>0.20172898483026</v>
      </c>
      <c r="J59" s="124">
        <f t="shared" ref="J59:O59" si="98">I59*(1+J60)</f>
        <v>0.19754862860901656</v>
      </c>
      <c r="K59" s="124">
        <f t="shared" si="98"/>
        <v>0.19345490038598168</v>
      </c>
      <c r="L59" s="124">
        <f t="shared" si="98"/>
        <v>0.18944600500072487</v>
      </c>
      <c r="M59" s="124">
        <f t="shared" si="98"/>
        <v>0.18552018449327093</v>
      </c>
      <c r="N59" s="124">
        <f t="shared" si="98"/>
        <v>0.18167571733320845</v>
      </c>
      <c r="O59" s="124">
        <f t="shared" si="98"/>
        <v>0.17791091766477318</v>
      </c>
      <c r="P59" s="107"/>
      <c r="Q59" s="107"/>
      <c r="R59" s="107"/>
      <c r="S59" s="107"/>
      <c r="T59" s="107"/>
      <c r="U59" s="107"/>
      <c r="V59" s="107"/>
      <c r="W59" s="107"/>
      <c r="X59" s="107"/>
      <c r="Y59" s="107"/>
      <c r="Z59" s="107"/>
      <c r="AA59" s="379"/>
      <c r="AB59" s="379"/>
      <c r="AC59" s="237"/>
      <c r="AD59" s="147" t="s">
        <v>73</v>
      </c>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row>
    <row r="60" spans="1:55" s="145" customFormat="1" ht="25" customHeight="1" x14ac:dyDescent="0.35">
      <c r="A60" s="124" t="s">
        <v>74</v>
      </c>
      <c r="B60" s="127">
        <f>'[2]Suagr price'!I200</f>
        <v>-2.0722635494155206E-2</v>
      </c>
      <c r="C60" s="126">
        <f>C59/B59-1</f>
        <v>6.5578760901459088E-3</v>
      </c>
      <c r="D60" s="126">
        <f t="shared" ref="D60" si="99">D59/C59-1</f>
        <v>3.9374183372788529E-2</v>
      </c>
      <c r="E60" s="126">
        <f>E59/D59-1</f>
        <v>0.38165767629762293</v>
      </c>
      <c r="F60" s="126">
        <f t="shared" ref="F60:G60" si="100">F59/E59-1</f>
        <v>5.7456886655525619E-2</v>
      </c>
      <c r="G60" s="126">
        <f t="shared" si="100"/>
        <v>0.27990598497869024</v>
      </c>
      <c r="H60" s="126">
        <f>H59/G59-1</f>
        <v>-0.14069085081578347</v>
      </c>
      <c r="I60" s="127">
        <f>B60</f>
        <v>-2.0722635494155206E-2</v>
      </c>
      <c r="J60" s="126">
        <f>I60</f>
        <v>-2.0722635494155206E-2</v>
      </c>
      <c r="K60" s="126">
        <f t="shared" ref="K60:O60" si="101">J60</f>
        <v>-2.0722635494155206E-2</v>
      </c>
      <c r="L60" s="126">
        <f t="shared" si="101"/>
        <v>-2.0722635494155206E-2</v>
      </c>
      <c r="M60" s="126">
        <f t="shared" si="101"/>
        <v>-2.0722635494155206E-2</v>
      </c>
      <c r="N60" s="126">
        <f t="shared" si="101"/>
        <v>-2.0722635494155206E-2</v>
      </c>
      <c r="O60" s="126">
        <f t="shared" si="101"/>
        <v>-2.0722635494155206E-2</v>
      </c>
      <c r="P60" s="107"/>
      <c r="Q60" s="107"/>
      <c r="R60" s="107"/>
      <c r="S60" s="107"/>
      <c r="T60" s="107"/>
      <c r="U60" s="107"/>
      <c r="V60" s="107"/>
      <c r="W60" s="107"/>
      <c r="X60" s="107"/>
      <c r="Y60" s="107"/>
      <c r="Z60" s="107"/>
      <c r="AA60" s="107"/>
      <c r="AB60" s="107" t="s">
        <v>75</v>
      </c>
      <c r="AC60" s="236"/>
      <c r="AD60" s="147" t="s">
        <v>76</v>
      </c>
      <c r="AE60" s="147"/>
      <c r="AF60" s="147"/>
      <c r="AG60" s="147"/>
      <c r="AH60" s="147"/>
      <c r="AI60" s="147"/>
      <c r="AJ60" s="147"/>
    </row>
    <row r="61" spans="1:55" s="147" customFormat="1" ht="25" customHeight="1" x14ac:dyDescent="0.35">
      <c r="A61" s="124" t="s">
        <v>77</v>
      </c>
      <c r="B61" s="124">
        <f>'[2]Milk price'!B9</f>
        <v>14262</v>
      </c>
      <c r="C61" s="124">
        <f>'[2]Milk price'!C9</f>
        <v>18116</v>
      </c>
      <c r="D61" s="124">
        <f>'[2]Milk price'!D9</f>
        <v>17708</v>
      </c>
      <c r="E61" s="124">
        <f>'[2]Milk price'!E9</f>
        <v>18705</v>
      </c>
      <c r="F61" s="124">
        <f>'[2]Milk price'!F9</f>
        <v>20292</v>
      </c>
      <c r="G61" s="124">
        <f>'[2]Milk price'!G9</f>
        <v>15169</v>
      </c>
      <c r="H61" s="124">
        <f>'[2]Milk price'!H9</f>
        <v>22423</v>
      </c>
      <c r="I61" s="124">
        <f>H61*(1+I62)</f>
        <v>22983.574999999997</v>
      </c>
      <c r="J61" s="124">
        <f t="shared" ref="J61:O61" si="102">I61*(1+J62)</f>
        <v>23558.164374999997</v>
      </c>
      <c r="K61" s="124">
        <f t="shared" si="102"/>
        <v>24147.118484374994</v>
      </c>
      <c r="L61" s="124">
        <f t="shared" si="102"/>
        <v>24750.796446484368</v>
      </c>
      <c r="M61" s="124">
        <f t="shared" si="102"/>
        <v>25369.566357646476</v>
      </c>
      <c r="N61" s="124">
        <f t="shared" si="102"/>
        <v>26003.805516587636</v>
      </c>
      <c r="O61" s="124">
        <f t="shared" si="102"/>
        <v>26653.900654502326</v>
      </c>
      <c r="P61" s="107"/>
      <c r="Q61" s="107"/>
      <c r="R61" s="107"/>
      <c r="S61" s="107"/>
      <c r="T61" s="107"/>
      <c r="U61" s="107"/>
      <c r="V61" s="107"/>
      <c r="W61" s="107"/>
      <c r="X61" s="107"/>
      <c r="Y61" s="107"/>
      <c r="Z61" s="107"/>
      <c r="AA61" s="379" t="s">
        <v>78</v>
      </c>
      <c r="AB61" s="379"/>
      <c r="AC61" s="395"/>
      <c r="AJ61" s="146"/>
      <c r="AK61" s="146"/>
      <c r="AL61" s="146"/>
      <c r="AM61" s="146"/>
      <c r="AN61" s="146"/>
      <c r="AO61" s="146"/>
      <c r="AP61" s="146"/>
      <c r="AQ61" s="146"/>
      <c r="AR61" s="146"/>
      <c r="AS61" s="146"/>
      <c r="AT61" s="146"/>
      <c r="AU61" s="146"/>
      <c r="AV61" s="146"/>
      <c r="AW61" s="146"/>
      <c r="AX61" s="146"/>
      <c r="AY61" s="146"/>
      <c r="AZ61" s="146"/>
      <c r="BA61" s="146"/>
      <c r="BB61" s="146"/>
      <c r="BC61" s="146"/>
    </row>
    <row r="62" spans="1:55" s="147" customFormat="1" ht="25" customHeight="1" x14ac:dyDescent="0.35">
      <c r="A62" s="124" t="s">
        <v>79</v>
      </c>
      <c r="B62" s="127">
        <f>$AE$75</f>
        <v>2.5000000000000001E-2</v>
      </c>
      <c r="C62" s="126">
        <f>C61/B61-1</f>
        <v>0.27022857944187351</v>
      </c>
      <c r="D62" s="126">
        <f t="shared" ref="D62" si="103">D61/C61-1</f>
        <v>-2.2521527931110619E-2</v>
      </c>
      <c r="E62" s="126">
        <f>E61/D61-1</f>
        <v>5.630223627738884E-2</v>
      </c>
      <c r="F62" s="126">
        <f t="shared" ref="F62:G62" si="104">F61/E61-1</f>
        <v>8.4843624699278308E-2</v>
      </c>
      <c r="G62" s="126">
        <f t="shared" si="104"/>
        <v>-0.25246402523161837</v>
      </c>
      <c r="H62" s="126">
        <f>H61/G61-1</f>
        <v>0.47821214318676253</v>
      </c>
      <c r="I62" s="127">
        <f>B62</f>
        <v>2.5000000000000001E-2</v>
      </c>
      <c r="J62" s="126">
        <f>I62</f>
        <v>2.5000000000000001E-2</v>
      </c>
      <c r="K62" s="126">
        <f t="shared" ref="K62:O62" si="105">J62</f>
        <v>2.5000000000000001E-2</v>
      </c>
      <c r="L62" s="126">
        <f t="shared" si="105"/>
        <v>2.5000000000000001E-2</v>
      </c>
      <c r="M62" s="126">
        <f t="shared" si="105"/>
        <v>2.5000000000000001E-2</v>
      </c>
      <c r="N62" s="126">
        <f t="shared" si="105"/>
        <v>2.5000000000000001E-2</v>
      </c>
      <c r="O62" s="126">
        <f t="shared" si="105"/>
        <v>2.5000000000000001E-2</v>
      </c>
      <c r="P62" s="107"/>
      <c r="Q62" s="107"/>
      <c r="R62" s="107"/>
      <c r="S62" s="107"/>
      <c r="T62" s="107"/>
      <c r="U62" s="107"/>
      <c r="V62" s="107"/>
      <c r="W62" s="107"/>
      <c r="X62" s="107"/>
      <c r="Y62" s="107"/>
      <c r="Z62" s="107"/>
      <c r="AA62" s="379"/>
      <c r="AB62" s="379"/>
      <c r="AC62" s="395"/>
      <c r="AJ62" s="146"/>
      <c r="AK62" s="146"/>
      <c r="AL62" s="146"/>
      <c r="AM62" s="146"/>
      <c r="AN62" s="146"/>
      <c r="AO62" s="146"/>
      <c r="AP62" s="146"/>
      <c r="AQ62" s="146"/>
      <c r="AR62" s="146"/>
      <c r="AS62" s="146"/>
      <c r="AT62" s="146"/>
      <c r="AU62" s="146"/>
      <c r="AV62" s="146"/>
      <c r="AW62" s="146"/>
      <c r="AX62" s="146"/>
      <c r="AY62" s="146"/>
      <c r="AZ62" s="146"/>
      <c r="BA62" s="146"/>
      <c r="BB62" s="146"/>
      <c r="BC62" s="146"/>
    </row>
    <row r="63" spans="1:55" s="147" customFormat="1" ht="25" customHeight="1" x14ac:dyDescent="0.35">
      <c r="A63" s="373" t="s">
        <v>80</v>
      </c>
      <c r="B63" s="374"/>
      <c r="C63" s="374"/>
      <c r="D63" s="374"/>
      <c r="E63" s="374"/>
      <c r="F63" s="374"/>
      <c r="G63" s="374"/>
      <c r="H63" s="374"/>
      <c r="I63" s="374"/>
      <c r="J63" s="374"/>
      <c r="K63" s="374"/>
      <c r="L63" s="374"/>
      <c r="M63" s="374"/>
      <c r="N63" s="374"/>
      <c r="O63" s="375"/>
      <c r="P63" s="107"/>
      <c r="Q63" s="107"/>
      <c r="R63" s="107"/>
      <c r="S63" s="107"/>
      <c r="T63" s="107"/>
      <c r="U63" s="107"/>
      <c r="V63" s="107"/>
      <c r="W63" s="107"/>
      <c r="X63" s="107"/>
      <c r="Y63" s="107"/>
      <c r="Z63" s="107"/>
      <c r="AA63" s="379"/>
      <c r="AB63" s="379"/>
      <c r="AC63" s="395"/>
      <c r="AJ63" s="146"/>
      <c r="AK63" s="146"/>
      <c r="AL63" s="146"/>
      <c r="AM63" s="146"/>
      <c r="AN63" s="146"/>
      <c r="AO63" s="146"/>
      <c r="AP63" s="146"/>
      <c r="AQ63" s="146"/>
      <c r="AR63" s="146"/>
      <c r="AS63" s="146"/>
      <c r="AT63" s="146"/>
      <c r="AU63" s="146"/>
      <c r="AV63" s="146"/>
      <c r="AW63" s="146"/>
      <c r="AX63" s="146"/>
      <c r="AY63" s="146"/>
      <c r="AZ63" s="146"/>
      <c r="BA63" s="146"/>
      <c r="BB63" s="146"/>
      <c r="BC63" s="146"/>
    </row>
    <row r="64" spans="1:55" s="147" customFormat="1" ht="25" customHeight="1" x14ac:dyDescent="0.35">
      <c r="A64" s="120" t="s">
        <v>69</v>
      </c>
      <c r="B64" s="120"/>
      <c r="C64" s="120"/>
      <c r="D64" s="120"/>
      <c r="E64" s="120"/>
      <c r="F64" s="120"/>
      <c r="G64" s="120"/>
      <c r="H64" s="120"/>
      <c r="I64" s="121">
        <f t="shared" ref="I64:O64" si="106">I65*I17</f>
        <v>233162875.39999983</v>
      </c>
      <c r="J64" s="121">
        <f>J65*J17</f>
        <v>240718090.66129434</v>
      </c>
      <c r="K64" s="121">
        <f t="shared" si="106"/>
        <v>242912474.52898782</v>
      </c>
      <c r="L64" s="121">
        <f t="shared" si="106"/>
        <v>246721288.04582125</v>
      </c>
      <c r="M64" s="121">
        <f t="shared" si="106"/>
        <v>251317143.1536136</v>
      </c>
      <c r="N64" s="121">
        <f t="shared" si="106"/>
        <v>256812037.20618424</v>
      </c>
      <c r="O64" s="121">
        <f t="shared" si="106"/>
        <v>263343518.21217361</v>
      </c>
      <c r="P64" s="107"/>
      <c r="Q64" s="107"/>
      <c r="R64" s="107"/>
      <c r="S64" s="107"/>
      <c r="T64" s="107"/>
      <c r="U64" s="107"/>
      <c r="V64" s="107"/>
      <c r="W64" s="107"/>
      <c r="X64" s="107"/>
      <c r="Y64" s="107"/>
      <c r="Z64" s="107"/>
      <c r="AA64" s="379"/>
      <c r="AB64" s="379"/>
      <c r="AC64" s="395"/>
      <c r="AJ64" s="146"/>
      <c r="AK64" s="146"/>
      <c r="AL64" s="146"/>
      <c r="AM64" s="146"/>
      <c r="AN64" s="146"/>
      <c r="AO64" s="146"/>
      <c r="AP64" s="146"/>
      <c r="AQ64" s="146"/>
      <c r="AR64" s="146"/>
      <c r="AS64" s="146"/>
      <c r="AT64" s="146"/>
      <c r="AU64" s="146"/>
      <c r="AV64" s="146"/>
      <c r="AW64" s="146"/>
      <c r="AX64" s="146"/>
      <c r="AY64" s="146"/>
      <c r="AZ64" s="146"/>
      <c r="BA64" s="146"/>
      <c r="BB64" s="146"/>
      <c r="BC64" s="146"/>
    </row>
    <row r="65" spans="1:55" s="147" customFormat="1" ht="25" customHeight="1" x14ac:dyDescent="0.35">
      <c r="A65" s="120" t="s">
        <v>81</v>
      </c>
      <c r="B65" s="120"/>
      <c r="C65" s="120"/>
      <c r="D65" s="120"/>
      <c r="E65" s="120"/>
      <c r="F65" s="120"/>
      <c r="G65" s="120"/>
      <c r="H65" s="121"/>
      <c r="I65" s="275">
        <f>'PHP Requirement'!E10</f>
        <v>144.0165999999999</v>
      </c>
      <c r="J65" s="275">
        <f>I65*(1+J66)</f>
        <v>141.19065019853838</v>
      </c>
      <c r="K65" s="275">
        <f t="shared" ref="K65:O65" si="107">J65*(1+K66)</f>
        <v>135.5963392804606</v>
      </c>
      <c r="L65" s="275">
        <f t="shared" si="107"/>
        <v>144.70041128053344</v>
      </c>
      <c r="M65" s="275">
        <f t="shared" si="107"/>
        <v>154.41573965686493</v>
      </c>
      <c r="N65" s="275">
        <f t="shared" si="107"/>
        <v>164.78336476562905</v>
      </c>
      <c r="O65" s="275">
        <f t="shared" si="107"/>
        <v>175.84708245300419</v>
      </c>
      <c r="P65" s="107"/>
      <c r="Q65" s="107"/>
      <c r="R65" s="107"/>
      <c r="S65" s="107"/>
      <c r="T65" s="107"/>
      <c r="U65" s="107"/>
      <c r="V65" s="107"/>
      <c r="W65" s="107"/>
      <c r="X65" s="107"/>
      <c r="Y65" s="107"/>
      <c r="Z65" s="107"/>
      <c r="AA65" s="107"/>
      <c r="AC65" s="237"/>
      <c r="AD65" s="383" t="s">
        <v>82</v>
      </c>
      <c r="AE65" s="384"/>
      <c r="AJ65" s="146"/>
      <c r="AK65" s="146"/>
      <c r="AL65" s="146"/>
      <c r="AM65" s="146"/>
      <c r="AN65" s="146"/>
      <c r="AO65" s="146"/>
      <c r="AP65" s="146"/>
      <c r="AQ65" s="146"/>
      <c r="AR65" s="146"/>
      <c r="AS65" s="146"/>
      <c r="AT65" s="146"/>
      <c r="AU65" s="146"/>
      <c r="AV65" s="146"/>
      <c r="AW65" s="146"/>
      <c r="AX65" s="146"/>
      <c r="AY65" s="146"/>
      <c r="AZ65" s="146"/>
      <c r="BA65" s="146"/>
      <c r="BB65" s="146"/>
      <c r="BC65" s="146"/>
    </row>
    <row r="66" spans="1:55" s="147" customFormat="1" ht="25" customHeight="1" x14ac:dyDescent="0.35">
      <c r="A66" s="124" t="s">
        <v>31</v>
      </c>
      <c r="B66" s="120"/>
      <c r="C66" s="120"/>
      <c r="D66" s="120"/>
      <c r="E66" s="120"/>
      <c r="F66" s="120"/>
      <c r="G66" s="120"/>
      <c r="H66" s="125">
        <v>15440.3</v>
      </c>
      <c r="I66" s="126">
        <f>(1+I68)*(1+I70)*(1+I72)-1</f>
        <v>-5.9622389373596762E-2</v>
      </c>
      <c r="J66" s="126">
        <f>(1+J68)*(1+J70)*(1+J72)-1+4%</f>
        <v>-1.9622389373596762E-2</v>
      </c>
      <c r="K66" s="126">
        <f>(1+K68)*(1+K70)*(1+K72)-1+2%</f>
        <v>-3.9622389373596759E-2</v>
      </c>
      <c r="L66" s="126">
        <f t="shared" ref="L66:O66" si="108">(1+L68)*(1+L70)*(1+L72)-1</f>
        <v>6.7140986610578324E-2</v>
      </c>
      <c r="M66" s="126">
        <f t="shared" si="108"/>
        <v>6.7140986610578324E-2</v>
      </c>
      <c r="N66" s="126">
        <f t="shared" si="108"/>
        <v>6.7140986610578324E-2</v>
      </c>
      <c r="O66" s="126">
        <f t="shared" si="108"/>
        <v>6.7140986610578324E-2</v>
      </c>
      <c r="P66" s="107"/>
      <c r="Q66" s="107"/>
      <c r="R66" s="107"/>
      <c r="S66" s="107"/>
      <c r="T66" s="107"/>
      <c r="U66" s="107"/>
      <c r="V66" s="107"/>
      <c r="W66" s="107"/>
      <c r="X66" s="107"/>
      <c r="Y66" s="107"/>
      <c r="Z66" s="107"/>
      <c r="AA66" s="107"/>
      <c r="AB66" s="107" t="s">
        <v>83</v>
      </c>
      <c r="AC66" s="237"/>
      <c r="AD66" s="385"/>
      <c r="AE66" s="386"/>
      <c r="AJ66" s="146"/>
      <c r="AK66" s="146"/>
      <c r="AL66" s="146"/>
      <c r="AM66" s="146"/>
      <c r="AN66" s="146"/>
      <c r="AO66" s="146"/>
      <c r="AP66" s="146"/>
      <c r="AQ66" s="146"/>
      <c r="AR66" s="146"/>
      <c r="AS66" s="146"/>
      <c r="AT66" s="146"/>
      <c r="AU66" s="146"/>
      <c r="AV66" s="146"/>
      <c r="AW66" s="146"/>
      <c r="AX66" s="146"/>
      <c r="AY66" s="146"/>
      <c r="AZ66" s="146"/>
      <c r="BA66" s="146"/>
      <c r="BB66" s="146"/>
      <c r="BC66" s="146"/>
    </row>
    <row r="67" spans="1:55" s="147" customFormat="1" ht="25" customHeight="1" x14ac:dyDescent="0.35">
      <c r="A67" s="124" t="s">
        <v>71</v>
      </c>
      <c r="B67" s="274">
        <f t="shared" ref="B67:H67" si="109">B57</f>
        <v>4.9756765873015887</v>
      </c>
      <c r="C67" s="274">
        <f t="shared" si="109"/>
        <v>4.9413849206349205</v>
      </c>
      <c r="D67" s="274">
        <f t="shared" si="109"/>
        <v>5.4980454545454513</v>
      </c>
      <c r="E67" s="274">
        <f t="shared" si="109"/>
        <v>7.0401862745098018</v>
      </c>
      <c r="F67" s="274">
        <f t="shared" si="109"/>
        <v>9.5239011627907004</v>
      </c>
      <c r="G67" s="274">
        <f t="shared" si="109"/>
        <v>7.2274918287937746</v>
      </c>
      <c r="H67" s="274">
        <f t="shared" si="109"/>
        <v>6.3670274725274725</v>
      </c>
      <c r="I67" s="289">
        <f>H67*(1+I68)</f>
        <v>5.964985918086871</v>
      </c>
      <c r="J67" s="289">
        <f t="shared" ref="J67" si="110">I67*(1+J68)</f>
        <v>5.5883310000624702</v>
      </c>
      <c r="K67" s="289">
        <f>J67*(1+K68)</f>
        <v>5.2354596968227742</v>
      </c>
      <c r="L67" s="289">
        <f t="shared" ref="L67:O67" si="111">K67*(1+L68)</f>
        <v>5.5660491852149443</v>
      </c>
      <c r="M67" s="289">
        <f t="shared" si="111"/>
        <v>5.9175135186377661</v>
      </c>
      <c r="N67" s="289">
        <f t="shared" si="111"/>
        <v>6.2911708247702922</v>
      </c>
      <c r="O67" s="289">
        <f t="shared" si="111"/>
        <v>6.6884224635539349</v>
      </c>
      <c r="P67" s="107"/>
      <c r="Q67" s="107"/>
      <c r="R67" s="107"/>
      <c r="S67" s="107"/>
      <c r="T67" s="107"/>
      <c r="U67" s="107"/>
      <c r="V67" s="107"/>
      <c r="W67" s="107"/>
      <c r="X67" s="107"/>
      <c r="Y67" s="107"/>
      <c r="Z67" s="107"/>
      <c r="AA67" s="107"/>
      <c r="AB67" s="288" t="s">
        <v>84</v>
      </c>
      <c r="AC67" s="237"/>
      <c r="AD67" s="387"/>
      <c r="AE67" s="388"/>
      <c r="AJ67" s="146"/>
      <c r="AK67" s="146"/>
      <c r="AL67" s="146"/>
      <c r="AM67" s="146"/>
      <c r="AN67" s="146"/>
      <c r="AO67" s="146"/>
      <c r="AP67" s="146"/>
      <c r="AQ67" s="146"/>
      <c r="AR67" s="146"/>
      <c r="AS67" s="146"/>
      <c r="AT67" s="146"/>
      <c r="AU67" s="146"/>
      <c r="AV67" s="146"/>
      <c r="AW67" s="146"/>
      <c r="AX67" s="146"/>
      <c r="AY67" s="146"/>
      <c r="AZ67" s="146"/>
      <c r="BA67" s="146"/>
      <c r="BB67" s="146"/>
      <c r="BC67" s="146"/>
    </row>
    <row r="68" spans="1:55" s="164" customFormat="1" ht="25" customHeight="1" x14ac:dyDescent="0.35">
      <c r="A68" s="127" t="s">
        <v>72</v>
      </c>
      <c r="B68" s="127">
        <f>AVERAGE(C68:H68)</f>
        <v>6.3144309675957147E-2</v>
      </c>
      <c r="C68" s="126">
        <f>C67/B67-1</f>
        <v>-6.8918600445583289E-3</v>
      </c>
      <c r="D68" s="126">
        <f t="shared" ref="D68" si="112">D67/C67-1</f>
        <v>0.11265273660142339</v>
      </c>
      <c r="E68" s="126">
        <f>E67/D67-1</f>
        <v>0.28048891787342378</v>
      </c>
      <c r="F68" s="126">
        <f t="shared" ref="F68:G68" si="113">F67/E67-1</f>
        <v>0.35279107561025946</v>
      </c>
      <c r="G68" s="126">
        <f t="shared" si="113"/>
        <v>-0.24112065998425691</v>
      </c>
      <c r="H68" s="126">
        <f>H67/G67-1</f>
        <v>-0.11905435200054848</v>
      </c>
      <c r="I68" s="127">
        <f>-B68</f>
        <v>-6.3144309675957147E-2</v>
      </c>
      <c r="J68" s="127">
        <f>-B68</f>
        <v>-6.3144309675957147E-2</v>
      </c>
      <c r="K68" s="127">
        <f>J68</f>
        <v>-6.3144309675957147E-2</v>
      </c>
      <c r="L68" s="127">
        <f>-K68</f>
        <v>6.3144309675957147E-2</v>
      </c>
      <c r="M68" s="127">
        <f t="shared" ref="M68:O68" si="114">L68</f>
        <v>6.3144309675957147E-2</v>
      </c>
      <c r="N68" s="127">
        <f t="shared" si="114"/>
        <v>6.3144309675957147E-2</v>
      </c>
      <c r="O68" s="127">
        <f t="shared" si="114"/>
        <v>6.3144309675957147E-2</v>
      </c>
      <c r="P68" s="107"/>
      <c r="Q68" s="107"/>
      <c r="R68" s="107"/>
      <c r="S68" s="107"/>
      <c r="T68" s="107"/>
      <c r="U68" s="107"/>
      <c r="V68" s="107"/>
      <c r="W68" s="107"/>
      <c r="X68" s="107"/>
      <c r="Y68" s="107"/>
      <c r="Z68" s="241"/>
      <c r="AA68" s="241"/>
      <c r="AB68" s="288" t="s">
        <v>85</v>
      </c>
      <c r="AC68" s="238"/>
      <c r="AD68" s="389" t="s">
        <v>86</v>
      </c>
      <c r="AE68" s="390"/>
      <c r="AF68" s="292"/>
      <c r="AG68" s="292"/>
      <c r="AH68" s="292"/>
      <c r="AI68" s="292"/>
    </row>
    <row r="69" spans="1:55" s="147" customFormat="1" ht="25" customHeight="1" x14ac:dyDescent="0.35">
      <c r="A69" s="124" t="s">
        <v>66</v>
      </c>
      <c r="B69" s="124">
        <f>B59</f>
        <v>0.12253531746031747</v>
      </c>
      <c r="C69" s="124">
        <f t="shared" ref="C69:H69" si="115">C59</f>
        <v>0.12333888888888893</v>
      </c>
      <c r="D69" s="124">
        <f t="shared" si="115"/>
        <v>0.12819525691699604</v>
      </c>
      <c r="E69" s="124">
        <f t="shared" si="115"/>
        <v>0.17712196078431353</v>
      </c>
      <c r="F69" s="124">
        <f t="shared" si="115"/>
        <v>0.18729883720930229</v>
      </c>
      <c r="G69" s="124">
        <f t="shared" si="115"/>
        <v>0.23972490272373539</v>
      </c>
      <c r="H69" s="124">
        <f t="shared" si="115"/>
        <v>0.20599780219780214</v>
      </c>
      <c r="I69" s="124">
        <f>H69*(1+I70)</f>
        <v>0.20172898483026</v>
      </c>
      <c r="J69" s="124">
        <f t="shared" ref="J69:O69" si="116">I69*(1+J70)</f>
        <v>0.19754862860901656</v>
      </c>
      <c r="K69" s="124">
        <f t="shared" si="116"/>
        <v>0.19345490038598168</v>
      </c>
      <c r="L69" s="124">
        <f t="shared" si="116"/>
        <v>0.18944600500072487</v>
      </c>
      <c r="M69" s="124">
        <f t="shared" si="116"/>
        <v>0.18552018449327093</v>
      </c>
      <c r="N69" s="124">
        <f t="shared" si="116"/>
        <v>0.18167571733320845</v>
      </c>
      <c r="O69" s="124">
        <f t="shared" si="116"/>
        <v>0.17791091766477318</v>
      </c>
      <c r="P69" s="107"/>
      <c r="Q69" s="107"/>
      <c r="R69" s="107"/>
      <c r="S69" s="107"/>
      <c r="T69" s="107"/>
      <c r="U69" s="107"/>
      <c r="V69" s="107"/>
      <c r="W69" s="107"/>
      <c r="X69" s="107"/>
      <c r="Y69" s="107"/>
      <c r="Z69" s="107"/>
      <c r="AA69" s="107"/>
      <c r="AB69" s="288" t="s">
        <v>87</v>
      </c>
      <c r="AC69" s="237"/>
      <c r="AD69" s="391"/>
      <c r="AE69" s="392"/>
      <c r="AJ69" s="146"/>
      <c r="AK69" s="146"/>
      <c r="AL69" s="146"/>
      <c r="AM69" s="146"/>
      <c r="AN69" s="146"/>
      <c r="AO69" s="146"/>
      <c r="AP69" s="146"/>
      <c r="AQ69" s="146"/>
      <c r="AR69" s="146"/>
      <c r="AS69" s="146"/>
      <c r="AT69" s="146"/>
      <c r="AU69" s="146"/>
      <c r="AV69" s="146"/>
      <c r="AW69" s="146"/>
      <c r="AX69" s="146"/>
      <c r="AY69" s="146"/>
      <c r="AZ69" s="146"/>
      <c r="BA69" s="146"/>
      <c r="BB69" s="146"/>
      <c r="BC69" s="146"/>
    </row>
    <row r="70" spans="1:55" s="147" customFormat="1" ht="25" customHeight="1" x14ac:dyDescent="0.35">
      <c r="A70" s="124" t="s">
        <v>74</v>
      </c>
      <c r="B70" s="127">
        <f>B60</f>
        <v>-2.0722635494155206E-2</v>
      </c>
      <c r="C70" s="126">
        <f>C69/B69-1</f>
        <v>6.5578760901459088E-3</v>
      </c>
      <c r="D70" s="126">
        <f t="shared" ref="D70" si="117">D69/C69-1</f>
        <v>3.9374183372788529E-2</v>
      </c>
      <c r="E70" s="126">
        <f>E69/D69-1</f>
        <v>0.38165767629762293</v>
      </c>
      <c r="F70" s="126">
        <f t="shared" ref="F70:G70" si="118">F69/E69-1</f>
        <v>5.7456886655525619E-2</v>
      </c>
      <c r="G70" s="126">
        <f t="shared" si="118"/>
        <v>0.27990598497869024</v>
      </c>
      <c r="H70" s="126">
        <f>H69/G69-1</f>
        <v>-0.14069085081578347</v>
      </c>
      <c r="I70" s="127">
        <f>B70</f>
        <v>-2.0722635494155206E-2</v>
      </c>
      <c r="J70" s="126">
        <f>I70</f>
        <v>-2.0722635494155206E-2</v>
      </c>
      <c r="K70" s="126">
        <f t="shared" ref="K70:O70" si="119">J70</f>
        <v>-2.0722635494155206E-2</v>
      </c>
      <c r="L70" s="126">
        <f t="shared" si="119"/>
        <v>-2.0722635494155206E-2</v>
      </c>
      <c r="M70" s="126">
        <f t="shared" si="119"/>
        <v>-2.0722635494155206E-2</v>
      </c>
      <c r="N70" s="126">
        <f t="shared" si="119"/>
        <v>-2.0722635494155206E-2</v>
      </c>
      <c r="O70" s="126">
        <f t="shared" si="119"/>
        <v>-2.0722635494155206E-2</v>
      </c>
      <c r="P70" s="107"/>
      <c r="Q70" s="107"/>
      <c r="R70" s="107"/>
      <c r="S70" s="107"/>
      <c r="T70" s="107"/>
      <c r="U70" s="107"/>
      <c r="V70" s="107"/>
      <c r="W70" s="107"/>
      <c r="X70" s="107"/>
      <c r="Y70" s="107"/>
      <c r="Z70" s="107"/>
      <c r="AA70" s="107"/>
      <c r="AB70" s="107" t="s">
        <v>88</v>
      </c>
      <c r="AC70" s="237"/>
      <c r="AD70" s="391"/>
      <c r="AE70" s="392"/>
      <c r="AJ70" s="146"/>
      <c r="AK70" s="146"/>
      <c r="AL70" s="146"/>
      <c r="AM70" s="146"/>
      <c r="AN70" s="146"/>
      <c r="AO70" s="146"/>
      <c r="AP70" s="146"/>
      <c r="AQ70" s="146"/>
      <c r="AR70" s="146"/>
      <c r="AS70" s="146"/>
      <c r="AT70" s="146"/>
      <c r="AU70" s="146"/>
      <c r="AV70" s="146"/>
      <c r="AW70" s="146"/>
      <c r="AX70" s="146"/>
      <c r="AY70" s="146"/>
      <c r="AZ70" s="146"/>
      <c r="BA70" s="146"/>
      <c r="BB70" s="146"/>
      <c r="BC70" s="146"/>
    </row>
    <row r="71" spans="1:55" s="147" customFormat="1" ht="25" customHeight="1" x14ac:dyDescent="0.35">
      <c r="A71" s="124" t="s">
        <v>77</v>
      </c>
      <c r="B71" s="124">
        <f>B61</f>
        <v>14262</v>
      </c>
      <c r="C71" s="124">
        <f t="shared" ref="C71:H71" si="120">C61</f>
        <v>18116</v>
      </c>
      <c r="D71" s="124">
        <f t="shared" si="120"/>
        <v>17708</v>
      </c>
      <c r="E71" s="124">
        <f t="shared" si="120"/>
        <v>18705</v>
      </c>
      <c r="F71" s="124">
        <f t="shared" si="120"/>
        <v>20292</v>
      </c>
      <c r="G71" s="124">
        <f t="shared" si="120"/>
        <v>15169</v>
      </c>
      <c r="H71" s="124">
        <f t="shared" si="120"/>
        <v>22423</v>
      </c>
      <c r="I71" s="124">
        <f>H71*(1+I72)</f>
        <v>22983.574999999997</v>
      </c>
      <c r="J71" s="124">
        <f t="shared" ref="J71:O71" si="121">I71*(1+J72)</f>
        <v>23558.164374999997</v>
      </c>
      <c r="K71" s="124">
        <f t="shared" si="121"/>
        <v>24147.118484374994</v>
      </c>
      <c r="L71" s="124">
        <f t="shared" si="121"/>
        <v>24750.796446484368</v>
      </c>
      <c r="M71" s="124">
        <f t="shared" si="121"/>
        <v>25369.566357646476</v>
      </c>
      <c r="N71" s="124">
        <f t="shared" si="121"/>
        <v>26003.805516587636</v>
      </c>
      <c r="O71" s="124">
        <f t="shared" si="121"/>
        <v>26653.900654502326</v>
      </c>
      <c r="P71" s="107"/>
      <c r="Q71" s="107"/>
      <c r="R71" s="107"/>
      <c r="S71" s="107"/>
      <c r="T71" s="107"/>
      <c r="U71" s="107"/>
      <c r="V71" s="107"/>
      <c r="W71" s="107"/>
      <c r="X71" s="107"/>
      <c r="Y71" s="107"/>
      <c r="Z71" s="107"/>
      <c r="AA71" s="107"/>
      <c r="AB71" s="107"/>
      <c r="AC71" s="237"/>
      <c r="AD71" s="393"/>
      <c r="AE71" s="394"/>
      <c r="AJ71" s="146"/>
      <c r="AK71" s="146"/>
      <c r="AL71" s="146"/>
      <c r="AM71" s="146"/>
      <c r="AN71" s="146"/>
      <c r="AO71" s="146"/>
      <c r="AP71" s="146"/>
      <c r="AQ71" s="146"/>
      <c r="AR71" s="146"/>
      <c r="AS71" s="146"/>
      <c r="AT71" s="146"/>
      <c r="AU71" s="146"/>
      <c r="AV71" s="146"/>
      <c r="AW71" s="146"/>
      <c r="AX71" s="146"/>
      <c r="AY71" s="146"/>
      <c r="AZ71" s="146"/>
      <c r="BA71" s="146"/>
      <c r="BB71" s="146"/>
      <c r="BC71" s="146"/>
    </row>
    <row r="72" spans="1:55" s="147" customFormat="1" ht="25" customHeight="1" x14ac:dyDescent="0.35">
      <c r="A72" s="124" t="s">
        <v>79</v>
      </c>
      <c r="B72" s="127">
        <f>$AE$75</f>
        <v>2.5000000000000001E-2</v>
      </c>
      <c r="C72" s="126">
        <f>C71/B71-1</f>
        <v>0.27022857944187351</v>
      </c>
      <c r="D72" s="126">
        <f t="shared" ref="D72" si="122">D71/C71-1</f>
        <v>-2.2521527931110619E-2</v>
      </c>
      <c r="E72" s="126">
        <f>E71/D71-1</f>
        <v>5.630223627738884E-2</v>
      </c>
      <c r="F72" s="126">
        <f t="shared" ref="F72:G72" si="123">F71/E71-1</f>
        <v>8.4843624699278308E-2</v>
      </c>
      <c r="G72" s="126">
        <f t="shared" si="123"/>
        <v>-0.25246402523161837</v>
      </c>
      <c r="H72" s="126">
        <f>H71/G71-1</f>
        <v>0.47821214318676253</v>
      </c>
      <c r="I72" s="127">
        <f>B72</f>
        <v>2.5000000000000001E-2</v>
      </c>
      <c r="J72" s="126">
        <f>I72</f>
        <v>2.5000000000000001E-2</v>
      </c>
      <c r="K72" s="126">
        <f t="shared" ref="K72:O72" si="124">J72</f>
        <v>2.5000000000000001E-2</v>
      </c>
      <c r="L72" s="126">
        <f t="shared" si="124"/>
        <v>2.5000000000000001E-2</v>
      </c>
      <c r="M72" s="126">
        <f t="shared" si="124"/>
        <v>2.5000000000000001E-2</v>
      </c>
      <c r="N72" s="126">
        <f t="shared" si="124"/>
        <v>2.5000000000000001E-2</v>
      </c>
      <c r="O72" s="126">
        <f t="shared" si="124"/>
        <v>2.5000000000000001E-2</v>
      </c>
      <c r="P72" s="107"/>
      <c r="Q72" s="107"/>
      <c r="R72" s="107"/>
      <c r="S72" s="107"/>
      <c r="T72" s="107"/>
      <c r="U72" s="107"/>
      <c r="V72" s="107"/>
      <c r="W72" s="107"/>
      <c r="X72" s="107"/>
      <c r="Y72" s="107"/>
      <c r="Z72" s="107"/>
      <c r="AA72" s="107"/>
      <c r="AB72" s="107"/>
      <c r="AC72" s="237"/>
      <c r="AD72" s="147" t="s">
        <v>89</v>
      </c>
      <c r="AE72" s="147" t="s">
        <v>90</v>
      </c>
      <c r="AJ72" s="146"/>
      <c r="AK72" s="146"/>
      <c r="AL72" s="146"/>
      <c r="AM72" s="146"/>
      <c r="AN72" s="146"/>
      <c r="AO72" s="146"/>
      <c r="AP72" s="146"/>
      <c r="AQ72" s="146"/>
      <c r="AR72" s="146"/>
      <c r="AS72" s="146"/>
      <c r="AT72" s="146"/>
      <c r="AU72" s="146"/>
      <c r="AV72" s="146"/>
      <c r="AW72" s="146"/>
      <c r="AX72" s="146"/>
      <c r="AY72" s="146"/>
      <c r="AZ72" s="146"/>
      <c r="BA72" s="146"/>
      <c r="BB72" s="146"/>
      <c r="BC72" s="146"/>
    </row>
    <row r="73" spans="1:55" s="147" customFormat="1" ht="25" customHeight="1" x14ac:dyDescent="0.35">
      <c r="A73" s="373" t="s">
        <v>55</v>
      </c>
      <c r="B73" s="374"/>
      <c r="C73" s="374"/>
      <c r="D73" s="374"/>
      <c r="E73" s="374"/>
      <c r="F73" s="374"/>
      <c r="G73" s="374"/>
      <c r="H73" s="374"/>
      <c r="I73" s="374"/>
      <c r="J73" s="374"/>
      <c r="K73" s="374"/>
      <c r="L73" s="374"/>
      <c r="M73" s="374"/>
      <c r="N73" s="374"/>
      <c r="O73" s="375"/>
      <c r="P73" s="107"/>
      <c r="Q73" s="107"/>
      <c r="R73" s="107"/>
      <c r="S73" s="107"/>
      <c r="T73" s="107"/>
      <c r="U73" s="107"/>
      <c r="V73" s="107"/>
      <c r="W73" s="107"/>
      <c r="X73" s="107"/>
      <c r="Y73" s="107"/>
      <c r="Z73" s="107"/>
      <c r="AA73" s="107"/>
      <c r="AB73" s="107"/>
      <c r="AC73" s="237"/>
      <c r="AD73" s="147" t="s">
        <v>91</v>
      </c>
      <c r="AJ73" s="146"/>
      <c r="AK73" s="146"/>
      <c r="AL73" s="146"/>
      <c r="AM73" s="146"/>
      <c r="AN73" s="146"/>
      <c r="AO73" s="146"/>
      <c r="AP73" s="146"/>
      <c r="AQ73" s="146"/>
      <c r="AR73" s="146"/>
      <c r="AS73" s="146"/>
      <c r="AT73" s="146"/>
      <c r="AU73" s="146"/>
      <c r="AV73" s="146"/>
      <c r="AW73" s="146"/>
      <c r="AX73" s="146"/>
      <c r="AY73" s="146"/>
      <c r="AZ73" s="146"/>
      <c r="BA73" s="146"/>
      <c r="BB73" s="146"/>
      <c r="BC73" s="146"/>
    </row>
    <row r="74" spans="1:55" s="147" customFormat="1" ht="25" customHeight="1" x14ac:dyDescent="0.35">
      <c r="A74" s="120" t="s">
        <v>69</v>
      </c>
      <c r="B74" s="120"/>
      <c r="C74" s="120"/>
      <c r="D74" s="120"/>
      <c r="E74" s="120"/>
      <c r="F74" s="120"/>
      <c r="G74" s="120"/>
      <c r="H74" s="120"/>
      <c r="I74" s="121">
        <f t="shared" ref="I74:O74" si="125">I75*I29</f>
        <v>499331840.94444406</v>
      </c>
      <c r="J74" s="121">
        <f t="shared" si="125"/>
        <v>494988117.75982833</v>
      </c>
      <c r="K74" s="121">
        <f t="shared" si="125"/>
        <v>481201496.71947008</v>
      </c>
      <c r="L74" s="121">
        <f t="shared" si="125"/>
        <v>520398684.05565327</v>
      </c>
      <c r="M74" s="121">
        <f t="shared" si="125"/>
        <v>563459388.44440198</v>
      </c>
      <c r="N74" s="121">
        <f t="shared" si="125"/>
        <v>610839332.76610053</v>
      </c>
      <c r="O74" s="121">
        <f t="shared" si="125"/>
        <v>663056981.52272558</v>
      </c>
      <c r="P74" s="107"/>
      <c r="Q74" s="107"/>
      <c r="R74" s="107"/>
      <c r="S74" s="107"/>
      <c r="T74" s="107"/>
      <c r="U74" s="107"/>
      <c r="V74" s="107"/>
      <c r="W74" s="107"/>
      <c r="X74" s="107"/>
      <c r="Y74" s="107"/>
      <c r="Z74" s="107"/>
      <c r="AA74" s="107"/>
      <c r="AB74" s="107"/>
      <c r="AC74" s="237"/>
      <c r="AD74" s="147" t="s">
        <v>92</v>
      </c>
      <c r="AJ74" s="146"/>
      <c r="AK74" s="146"/>
      <c r="AL74" s="146"/>
      <c r="AM74" s="146"/>
      <c r="AN74" s="146"/>
      <c r="AO74" s="146"/>
      <c r="AP74" s="146"/>
      <c r="AQ74" s="146"/>
      <c r="AR74" s="146"/>
      <c r="AS74" s="146"/>
      <c r="AT74" s="146"/>
      <c r="AU74" s="146"/>
      <c r="AV74" s="146"/>
      <c r="AW74" s="146"/>
      <c r="AX74" s="146"/>
      <c r="AY74" s="146"/>
      <c r="AZ74" s="146"/>
      <c r="BA74" s="146"/>
      <c r="BB74" s="146"/>
      <c r="BC74" s="146"/>
    </row>
    <row r="75" spans="1:55" s="145" customFormat="1" ht="25" customHeight="1" x14ac:dyDescent="0.35">
      <c r="A75" s="120" t="s">
        <v>13</v>
      </c>
      <c r="B75" s="120"/>
      <c r="C75" s="120"/>
      <c r="D75" s="120"/>
      <c r="E75" s="120"/>
      <c r="F75" s="120"/>
      <c r="G75" s="120"/>
      <c r="H75" s="121"/>
      <c r="I75" s="275">
        <f>'PHP Requirement'!D10</f>
        <v>134.30119444444435</v>
      </c>
      <c r="J75" s="275">
        <f>I75*(1+J76)</f>
        <v>131.66588411371634</v>
      </c>
      <c r="K75" s="275">
        <f t="shared" ref="K75:O75" si="126">J75*(1+K76)</f>
        <v>126.4489671861438</v>
      </c>
      <c r="L75" s="275">
        <f t="shared" si="126"/>
        <v>134.93887559891013</v>
      </c>
      <c r="M75" s="275">
        <f t="shared" si="126"/>
        <v>143.99880483874304</v>
      </c>
      <c r="N75" s="275">
        <f t="shared" si="126"/>
        <v>153.66702666636036</v>
      </c>
      <c r="O75" s="275">
        <f t="shared" si="126"/>
        <v>163.98438244625385</v>
      </c>
      <c r="P75" s="107"/>
      <c r="Q75" s="107"/>
      <c r="R75" s="107"/>
      <c r="S75" s="107"/>
      <c r="T75" s="107"/>
      <c r="U75" s="107"/>
      <c r="V75" s="107"/>
      <c r="W75" s="107"/>
      <c r="X75" s="107"/>
      <c r="Y75" s="107"/>
      <c r="Z75" s="107"/>
      <c r="AA75" s="107"/>
      <c r="AB75" s="107"/>
      <c r="AC75" s="236"/>
      <c r="AD75" s="147" t="s">
        <v>93</v>
      </c>
      <c r="AE75" s="293">
        <v>2.5000000000000001E-2</v>
      </c>
      <c r="AF75" s="147"/>
      <c r="AG75" s="147"/>
      <c r="AH75" s="147"/>
      <c r="AI75" s="147"/>
    </row>
    <row r="76" spans="1:55" s="147" customFormat="1" ht="25" customHeight="1" x14ac:dyDescent="0.35">
      <c r="A76" s="124" t="s">
        <v>31</v>
      </c>
      <c r="B76" s="120"/>
      <c r="C76" s="120"/>
      <c r="D76" s="120"/>
      <c r="E76" s="120"/>
      <c r="F76" s="120"/>
      <c r="G76" s="120"/>
      <c r="H76" s="125">
        <v>15440.3</v>
      </c>
      <c r="I76" s="126">
        <f>(1+I78)*(1+I80)*(1+I82)-1</f>
        <v>-5.9622389373596762E-2</v>
      </c>
      <c r="J76" s="126">
        <f>(1+J78)*(1+J80)*(1+J82)-1+4%</f>
        <v>-1.9622389373596762E-2</v>
      </c>
      <c r="K76" s="126">
        <f>(1+K78)*(1+K80)*(1+K82)-1+2%</f>
        <v>-3.9622389373596759E-2</v>
      </c>
      <c r="L76" s="126">
        <f t="shared" ref="L76:O76" si="127">(1+L78)*(1+L80)*(1+L82)-1</f>
        <v>6.7140986610578324E-2</v>
      </c>
      <c r="M76" s="126">
        <f t="shared" si="127"/>
        <v>6.7140986610578324E-2</v>
      </c>
      <c r="N76" s="126">
        <f t="shared" si="127"/>
        <v>6.7140986610578324E-2</v>
      </c>
      <c r="O76" s="126">
        <f t="shared" si="127"/>
        <v>6.7140986610578324E-2</v>
      </c>
      <c r="P76" s="107"/>
      <c r="Q76" s="107"/>
      <c r="R76" s="107"/>
      <c r="S76" s="107"/>
      <c r="T76" s="107"/>
      <c r="U76" s="107"/>
      <c r="V76" s="107"/>
      <c r="W76" s="107"/>
      <c r="X76" s="107"/>
      <c r="Y76" s="107"/>
      <c r="Z76" s="107"/>
      <c r="AA76" s="107"/>
      <c r="AB76" s="107"/>
      <c r="AC76" s="237"/>
      <c r="AJ76" s="146"/>
      <c r="AK76" s="146"/>
      <c r="AL76" s="146"/>
      <c r="AM76" s="146"/>
      <c r="AN76" s="146"/>
      <c r="AO76" s="146"/>
      <c r="AP76" s="146"/>
      <c r="AQ76" s="146"/>
      <c r="AR76" s="146"/>
      <c r="AS76" s="146"/>
      <c r="AT76" s="146"/>
      <c r="AU76" s="146"/>
      <c r="AV76" s="146"/>
      <c r="AW76" s="146"/>
      <c r="AX76" s="146"/>
      <c r="AY76" s="146"/>
      <c r="AZ76" s="146"/>
      <c r="BA76" s="146"/>
      <c r="BB76" s="146"/>
      <c r="BC76" s="146"/>
    </row>
    <row r="77" spans="1:55" s="147" customFormat="1" ht="25" customHeight="1" x14ac:dyDescent="0.35">
      <c r="A77" s="124" t="s">
        <v>71</v>
      </c>
      <c r="B77" s="274">
        <f>B57</f>
        <v>4.9756765873015887</v>
      </c>
      <c r="C77" s="274">
        <f t="shared" ref="C77:H77" si="128">C57</f>
        <v>4.9413849206349205</v>
      </c>
      <c r="D77" s="274">
        <f t="shared" si="128"/>
        <v>5.4980454545454513</v>
      </c>
      <c r="E77" s="274">
        <f t="shared" si="128"/>
        <v>7.0401862745098018</v>
      </c>
      <c r="F77" s="274">
        <f t="shared" si="128"/>
        <v>9.5239011627907004</v>
      </c>
      <c r="G77" s="274">
        <f t="shared" si="128"/>
        <v>7.2274918287937746</v>
      </c>
      <c r="H77" s="274">
        <f t="shared" si="128"/>
        <v>6.3670274725274725</v>
      </c>
      <c r="I77" s="289">
        <f>H77*(1+I78)</f>
        <v>5.964985918086871</v>
      </c>
      <c r="J77" s="289">
        <f t="shared" ref="J77:O77" si="129">I77*(1+J78)</f>
        <v>5.5883310000624702</v>
      </c>
      <c r="K77" s="289">
        <f t="shared" si="129"/>
        <v>5.2354596968227742</v>
      </c>
      <c r="L77" s="289">
        <f t="shared" si="129"/>
        <v>5.5660491852149443</v>
      </c>
      <c r="M77" s="289">
        <f t="shared" si="129"/>
        <v>5.9175135186377661</v>
      </c>
      <c r="N77" s="289">
        <f t="shared" si="129"/>
        <v>6.2911708247702922</v>
      </c>
      <c r="O77" s="289">
        <f t="shared" si="129"/>
        <v>6.6884224635539349</v>
      </c>
      <c r="P77" s="107"/>
      <c r="Q77" s="107"/>
      <c r="R77" s="107"/>
      <c r="S77" s="107"/>
      <c r="T77" s="107"/>
      <c r="U77" s="107"/>
      <c r="V77" s="107"/>
      <c r="W77" s="107"/>
      <c r="X77" s="107"/>
      <c r="Y77" s="107"/>
      <c r="Z77" s="107"/>
      <c r="AA77" s="107"/>
      <c r="AB77" s="107"/>
      <c r="AC77" s="237"/>
      <c r="AJ77" s="146"/>
      <c r="AK77" s="146"/>
      <c r="AL77" s="146"/>
      <c r="AM77" s="146"/>
      <c r="AN77" s="146"/>
      <c r="AO77" s="146"/>
      <c r="AP77" s="146"/>
      <c r="AQ77" s="146"/>
      <c r="AR77" s="146"/>
      <c r="AS77" s="146"/>
      <c r="AT77" s="146"/>
      <c r="AU77" s="146"/>
      <c r="AV77" s="146"/>
      <c r="AW77" s="146"/>
      <c r="AX77" s="146"/>
      <c r="AY77" s="146"/>
      <c r="AZ77" s="146"/>
      <c r="BA77" s="146"/>
      <c r="BB77" s="146"/>
      <c r="BC77" s="146"/>
    </row>
    <row r="78" spans="1:55" s="145" customFormat="1" ht="25" customHeight="1" x14ac:dyDescent="0.35">
      <c r="A78" s="127" t="s">
        <v>72</v>
      </c>
      <c r="B78" s="127">
        <f>AVERAGE(C78:H78)</f>
        <v>6.3144309675957147E-2</v>
      </c>
      <c r="C78" s="126">
        <f>C77/B77-1</f>
        <v>-6.8918600445583289E-3</v>
      </c>
      <c r="D78" s="126">
        <f t="shared" ref="D78" si="130">D77/C77-1</f>
        <v>0.11265273660142339</v>
      </c>
      <c r="E78" s="126">
        <f>E77/D77-1</f>
        <v>0.28048891787342378</v>
      </c>
      <c r="F78" s="126">
        <f t="shared" ref="F78:G78" si="131">F77/E77-1</f>
        <v>0.35279107561025946</v>
      </c>
      <c r="G78" s="126">
        <f t="shared" si="131"/>
        <v>-0.24112065998425691</v>
      </c>
      <c r="H78" s="126">
        <f>H77/G77-1</f>
        <v>-0.11905435200054848</v>
      </c>
      <c r="I78" s="127">
        <f>-B78</f>
        <v>-6.3144309675957147E-2</v>
      </c>
      <c r="J78" s="127">
        <f>-B78</f>
        <v>-6.3144309675957147E-2</v>
      </c>
      <c r="K78" s="127">
        <f>J78</f>
        <v>-6.3144309675957147E-2</v>
      </c>
      <c r="L78" s="127">
        <f>-K78</f>
        <v>6.3144309675957147E-2</v>
      </c>
      <c r="M78" s="127">
        <f t="shared" ref="M78:O78" si="132">L78</f>
        <v>6.3144309675957147E-2</v>
      </c>
      <c r="N78" s="127">
        <f t="shared" si="132"/>
        <v>6.3144309675957147E-2</v>
      </c>
      <c r="O78" s="127">
        <f t="shared" si="132"/>
        <v>6.3144309675957147E-2</v>
      </c>
      <c r="P78" s="107"/>
      <c r="Q78" s="107"/>
      <c r="R78" s="107"/>
      <c r="S78" s="107"/>
      <c r="T78" s="107"/>
      <c r="U78" s="107"/>
      <c r="V78" s="107"/>
      <c r="W78" s="107"/>
      <c r="X78" s="107"/>
      <c r="Y78" s="107"/>
      <c r="Z78" s="107"/>
      <c r="AA78" s="107"/>
      <c r="AB78" s="107"/>
      <c r="AC78" s="236"/>
      <c r="AD78" s="147"/>
      <c r="AE78" s="147"/>
      <c r="AF78" s="147"/>
      <c r="AG78" s="147"/>
      <c r="AH78" s="147"/>
      <c r="AI78" s="147"/>
    </row>
    <row r="79" spans="1:55" s="147" customFormat="1" ht="25" customHeight="1" x14ac:dyDescent="0.35">
      <c r="A79" s="124" t="s">
        <v>66</v>
      </c>
      <c r="B79" s="124">
        <f>B59</f>
        <v>0.12253531746031747</v>
      </c>
      <c r="C79" s="124">
        <f t="shared" ref="C79:H79" si="133">C59</f>
        <v>0.12333888888888893</v>
      </c>
      <c r="D79" s="124">
        <f t="shared" si="133"/>
        <v>0.12819525691699604</v>
      </c>
      <c r="E79" s="124">
        <f t="shared" si="133"/>
        <v>0.17712196078431353</v>
      </c>
      <c r="F79" s="124">
        <f t="shared" si="133"/>
        <v>0.18729883720930229</v>
      </c>
      <c r="G79" s="124">
        <f t="shared" si="133"/>
        <v>0.23972490272373539</v>
      </c>
      <c r="H79" s="124">
        <f t="shared" si="133"/>
        <v>0.20599780219780214</v>
      </c>
      <c r="I79" s="124">
        <f>H79*(1+I80)</f>
        <v>0.20172898483026</v>
      </c>
      <c r="J79" s="124">
        <f t="shared" ref="J79:O79" si="134">I79*(1+J80)</f>
        <v>0.19754862860901656</v>
      </c>
      <c r="K79" s="124">
        <f t="shared" si="134"/>
        <v>0.19345490038598168</v>
      </c>
      <c r="L79" s="124">
        <f t="shared" si="134"/>
        <v>0.18944600500072487</v>
      </c>
      <c r="M79" s="124">
        <f t="shared" si="134"/>
        <v>0.18552018449327093</v>
      </c>
      <c r="N79" s="124">
        <f t="shared" si="134"/>
        <v>0.18167571733320845</v>
      </c>
      <c r="O79" s="124">
        <f t="shared" si="134"/>
        <v>0.17791091766477318</v>
      </c>
      <c r="P79" s="107"/>
      <c r="Q79" s="107"/>
      <c r="R79" s="107"/>
      <c r="S79" s="107"/>
      <c r="T79" s="107"/>
      <c r="U79" s="107"/>
      <c r="V79" s="107"/>
      <c r="W79" s="107"/>
      <c r="X79" s="107"/>
      <c r="Y79" s="107"/>
      <c r="Z79" s="107"/>
      <c r="AA79" s="107"/>
      <c r="AB79" s="107"/>
      <c r="AC79" s="237"/>
      <c r="AJ79" s="146"/>
      <c r="AK79" s="146"/>
      <c r="AL79" s="146"/>
      <c r="AM79" s="146"/>
      <c r="AN79" s="146"/>
      <c r="AO79" s="146"/>
      <c r="AP79" s="146"/>
      <c r="AQ79" s="146"/>
      <c r="AR79" s="146"/>
      <c r="AS79" s="146"/>
      <c r="AT79" s="146"/>
      <c r="AU79" s="146"/>
      <c r="AV79" s="146"/>
      <c r="AW79" s="146"/>
      <c r="AX79" s="146"/>
      <c r="AY79" s="146"/>
      <c r="AZ79" s="146"/>
      <c r="BA79" s="146"/>
      <c r="BB79" s="146"/>
      <c r="BC79" s="146"/>
    </row>
    <row r="80" spans="1:55" s="147" customFormat="1" ht="25" customHeight="1" x14ac:dyDescent="0.35">
      <c r="A80" s="124" t="s">
        <v>74</v>
      </c>
      <c r="B80" s="127">
        <f>B60</f>
        <v>-2.0722635494155206E-2</v>
      </c>
      <c r="C80" s="126">
        <f>C79/B79-1</f>
        <v>6.5578760901459088E-3</v>
      </c>
      <c r="D80" s="126">
        <f t="shared" ref="D80" si="135">D79/C79-1</f>
        <v>3.9374183372788529E-2</v>
      </c>
      <c r="E80" s="126">
        <f>E79/D79-1</f>
        <v>0.38165767629762293</v>
      </c>
      <c r="F80" s="126">
        <f t="shared" ref="F80:G80" si="136">F79/E79-1</f>
        <v>5.7456886655525619E-2</v>
      </c>
      <c r="G80" s="126">
        <f t="shared" si="136"/>
        <v>0.27990598497869024</v>
      </c>
      <c r="H80" s="126">
        <f>H79/G79-1</f>
        <v>-0.14069085081578347</v>
      </c>
      <c r="I80" s="127">
        <f>B80</f>
        <v>-2.0722635494155206E-2</v>
      </c>
      <c r="J80" s="126">
        <f>I80</f>
        <v>-2.0722635494155206E-2</v>
      </c>
      <c r="K80" s="126">
        <f t="shared" ref="K80:O80" si="137">J80</f>
        <v>-2.0722635494155206E-2</v>
      </c>
      <c r="L80" s="126">
        <f t="shared" si="137"/>
        <v>-2.0722635494155206E-2</v>
      </c>
      <c r="M80" s="126">
        <f t="shared" si="137"/>
        <v>-2.0722635494155206E-2</v>
      </c>
      <c r="N80" s="126">
        <f t="shared" si="137"/>
        <v>-2.0722635494155206E-2</v>
      </c>
      <c r="O80" s="126">
        <f t="shared" si="137"/>
        <v>-2.0722635494155206E-2</v>
      </c>
      <c r="P80" s="107"/>
      <c r="Q80" s="107"/>
      <c r="R80" s="107"/>
      <c r="S80" s="107"/>
      <c r="T80" s="107"/>
      <c r="U80" s="107"/>
      <c r="V80" s="107"/>
      <c r="W80" s="107"/>
      <c r="X80" s="107"/>
      <c r="Y80" s="107"/>
      <c r="Z80" s="107"/>
      <c r="AA80" s="107"/>
      <c r="AB80" s="107"/>
      <c r="AC80" s="237"/>
      <c r="AJ80" s="146"/>
      <c r="AK80" s="146"/>
      <c r="AL80" s="146"/>
      <c r="AM80" s="146"/>
      <c r="AN80" s="146"/>
      <c r="AO80" s="146"/>
      <c r="AP80" s="146"/>
      <c r="AQ80" s="146"/>
      <c r="AR80" s="146"/>
      <c r="AS80" s="146"/>
      <c r="AT80" s="146"/>
      <c r="AU80" s="146"/>
      <c r="AV80" s="146"/>
      <c r="AW80" s="146"/>
      <c r="AX80" s="146"/>
      <c r="AY80" s="146"/>
      <c r="AZ80" s="146"/>
      <c r="BA80" s="146"/>
      <c r="BB80" s="146"/>
      <c r="BC80" s="146"/>
    </row>
    <row r="81" spans="1:55" s="147" customFormat="1" ht="25" customHeight="1" x14ac:dyDescent="0.35">
      <c r="A81" s="124" t="s">
        <v>77</v>
      </c>
      <c r="B81" s="124">
        <f>B61</f>
        <v>14262</v>
      </c>
      <c r="C81" s="124">
        <f t="shared" ref="C81:H81" si="138">C61</f>
        <v>18116</v>
      </c>
      <c r="D81" s="124">
        <f t="shared" si="138"/>
        <v>17708</v>
      </c>
      <c r="E81" s="124">
        <f t="shared" si="138"/>
        <v>18705</v>
      </c>
      <c r="F81" s="124">
        <f t="shared" si="138"/>
        <v>20292</v>
      </c>
      <c r="G81" s="124">
        <f t="shared" si="138"/>
        <v>15169</v>
      </c>
      <c r="H81" s="124">
        <f t="shared" si="138"/>
        <v>22423</v>
      </c>
      <c r="I81" s="124">
        <f>H81*(1+I82)</f>
        <v>22983.574999999997</v>
      </c>
      <c r="J81" s="124">
        <f t="shared" ref="J81:O81" si="139">I81*(1+J82)</f>
        <v>23558.164374999997</v>
      </c>
      <c r="K81" s="124">
        <f t="shared" si="139"/>
        <v>24147.118484374994</v>
      </c>
      <c r="L81" s="124">
        <f t="shared" si="139"/>
        <v>24750.796446484368</v>
      </c>
      <c r="M81" s="124">
        <f t="shared" si="139"/>
        <v>25369.566357646476</v>
      </c>
      <c r="N81" s="124">
        <f t="shared" si="139"/>
        <v>26003.805516587636</v>
      </c>
      <c r="O81" s="124">
        <f t="shared" si="139"/>
        <v>26653.900654502326</v>
      </c>
      <c r="P81" s="107"/>
      <c r="Q81" s="107"/>
      <c r="R81" s="107"/>
      <c r="S81" s="107"/>
      <c r="T81" s="107"/>
      <c r="U81" s="107"/>
      <c r="V81" s="107"/>
      <c r="W81" s="107"/>
      <c r="X81" s="107"/>
      <c r="Y81" s="107"/>
      <c r="Z81" s="107"/>
      <c r="AA81" s="107"/>
      <c r="AB81" s="107"/>
      <c r="AC81" s="237"/>
      <c r="AJ81" s="146"/>
      <c r="AK81" s="146"/>
      <c r="AL81" s="146"/>
      <c r="AM81" s="146"/>
      <c r="AN81" s="146"/>
      <c r="AO81" s="146"/>
      <c r="AP81" s="146"/>
      <c r="AQ81" s="146"/>
      <c r="AR81" s="146"/>
      <c r="AS81" s="146"/>
      <c r="AT81" s="146"/>
      <c r="AU81" s="146"/>
      <c r="AV81" s="146"/>
      <c r="AW81" s="146"/>
      <c r="AX81" s="146"/>
      <c r="AY81" s="146"/>
      <c r="AZ81" s="146"/>
      <c r="BA81" s="146"/>
      <c r="BB81" s="146"/>
      <c r="BC81" s="146"/>
    </row>
    <row r="82" spans="1:55" s="145" customFormat="1" ht="25" customHeight="1" x14ac:dyDescent="0.35">
      <c r="A82" s="124" t="s">
        <v>79</v>
      </c>
      <c r="B82" s="127">
        <f>$AE$75</f>
        <v>2.5000000000000001E-2</v>
      </c>
      <c r="C82" s="126">
        <f>C81/B81-1</f>
        <v>0.27022857944187351</v>
      </c>
      <c r="D82" s="126">
        <f t="shared" ref="D82" si="140">D81/C81-1</f>
        <v>-2.2521527931110619E-2</v>
      </c>
      <c r="E82" s="126">
        <f>E81/D81-1</f>
        <v>5.630223627738884E-2</v>
      </c>
      <c r="F82" s="126">
        <f t="shared" ref="F82:G82" si="141">F81/E81-1</f>
        <v>8.4843624699278308E-2</v>
      </c>
      <c r="G82" s="126">
        <f t="shared" si="141"/>
        <v>-0.25246402523161837</v>
      </c>
      <c r="H82" s="126">
        <f>H81/G81-1</f>
        <v>0.47821214318676253</v>
      </c>
      <c r="I82" s="127">
        <f>B82</f>
        <v>2.5000000000000001E-2</v>
      </c>
      <c r="J82" s="126">
        <f>I82</f>
        <v>2.5000000000000001E-2</v>
      </c>
      <c r="K82" s="126">
        <f t="shared" ref="K82:O82" si="142">J82</f>
        <v>2.5000000000000001E-2</v>
      </c>
      <c r="L82" s="126">
        <f t="shared" si="142"/>
        <v>2.5000000000000001E-2</v>
      </c>
      <c r="M82" s="126">
        <f t="shared" si="142"/>
        <v>2.5000000000000001E-2</v>
      </c>
      <c r="N82" s="126">
        <f t="shared" si="142"/>
        <v>2.5000000000000001E-2</v>
      </c>
      <c r="O82" s="126">
        <f t="shared" si="142"/>
        <v>2.5000000000000001E-2</v>
      </c>
      <c r="P82" s="107"/>
      <c r="Q82" s="107"/>
      <c r="R82" s="107"/>
      <c r="S82" s="107"/>
      <c r="T82" s="107"/>
      <c r="U82" s="107"/>
      <c r="V82" s="107"/>
      <c r="W82" s="107"/>
      <c r="X82" s="107"/>
      <c r="Y82" s="107"/>
      <c r="Z82" s="107"/>
      <c r="AA82" s="107"/>
      <c r="AB82" s="107"/>
      <c r="AC82" s="236"/>
      <c r="AD82" s="147"/>
      <c r="AE82" s="147"/>
      <c r="AF82" s="147"/>
      <c r="AG82" s="147"/>
      <c r="AH82" s="147"/>
      <c r="AI82" s="147"/>
    </row>
    <row r="83" spans="1:55" s="147" customFormat="1" ht="25" customHeight="1" x14ac:dyDescent="0.35">
      <c r="A83" s="373" t="s">
        <v>5</v>
      </c>
      <c r="B83" s="374"/>
      <c r="C83" s="374"/>
      <c r="D83" s="374"/>
      <c r="E83" s="374"/>
      <c r="F83" s="374"/>
      <c r="G83" s="374"/>
      <c r="H83" s="374"/>
      <c r="I83" s="374"/>
      <c r="J83" s="374"/>
      <c r="K83" s="374"/>
      <c r="L83" s="374"/>
      <c r="M83" s="374"/>
      <c r="N83" s="374"/>
      <c r="O83" s="375"/>
      <c r="P83" s="107"/>
      <c r="Q83" s="107"/>
      <c r="R83" s="107"/>
      <c r="S83" s="107"/>
      <c r="T83" s="107"/>
      <c r="U83" s="107"/>
      <c r="V83" s="107"/>
      <c r="W83" s="107"/>
      <c r="X83" s="107"/>
      <c r="Y83" s="107"/>
      <c r="Z83" s="107"/>
      <c r="AA83" s="107"/>
      <c r="AB83" s="107"/>
      <c r="AC83" s="237"/>
      <c r="AJ83" s="146"/>
      <c r="AK83" s="146"/>
      <c r="AL83" s="146"/>
      <c r="AM83" s="146"/>
      <c r="AN83" s="146"/>
      <c r="AO83" s="146"/>
      <c r="AP83" s="146"/>
      <c r="AQ83" s="146"/>
      <c r="AR83" s="146"/>
      <c r="AS83" s="146"/>
      <c r="AT83" s="146"/>
      <c r="AU83" s="146"/>
      <c r="AV83" s="146"/>
      <c r="AW83" s="146"/>
      <c r="AX83" s="146"/>
      <c r="AY83" s="146"/>
      <c r="AZ83" s="146"/>
      <c r="BA83" s="146"/>
      <c r="BB83" s="146"/>
      <c r="BC83" s="146"/>
    </row>
    <row r="84" spans="1:55" s="147" customFormat="1" ht="25" customHeight="1" x14ac:dyDescent="0.35">
      <c r="A84" s="120" t="s">
        <v>69</v>
      </c>
      <c r="B84" s="120"/>
      <c r="C84" s="120"/>
      <c r="D84" s="120"/>
      <c r="E84" s="120"/>
      <c r="F84" s="120"/>
      <c r="G84" s="120"/>
      <c r="H84" s="120"/>
      <c r="I84" s="121">
        <f t="shared" ref="I84:O84" si="143">I85*I41</f>
        <v>160580794.97777766</v>
      </c>
      <c r="J84" s="121">
        <f t="shared" si="143"/>
        <v>163623021.46706527</v>
      </c>
      <c r="K84" s="121">
        <f t="shared" si="143"/>
        <v>164342035.94575167</v>
      </c>
      <c r="L84" s="121">
        <f t="shared" si="143"/>
        <v>184654308.25862893</v>
      </c>
      <c r="M84" s="121">
        <f t="shared" si="143"/>
        <v>208994789.51192117</v>
      </c>
      <c r="N84" s="121">
        <f t="shared" si="143"/>
        <v>238414501.08750877</v>
      </c>
      <c r="O84" s="121">
        <f t="shared" si="143"/>
        <v>274299788.72486818</v>
      </c>
      <c r="P84" s="107"/>
      <c r="Q84" s="107"/>
      <c r="R84" s="107"/>
      <c r="S84" s="107"/>
      <c r="T84" s="107"/>
      <c r="U84" s="107"/>
      <c r="V84" s="107"/>
      <c r="W84" s="107"/>
      <c r="X84" s="107"/>
      <c r="Y84" s="107"/>
      <c r="Z84" s="107"/>
      <c r="AA84" s="107"/>
      <c r="AB84" s="107"/>
      <c r="AC84" s="237"/>
      <c r="AD84" s="146"/>
      <c r="AE84" s="146"/>
      <c r="AF84" s="146"/>
      <c r="AG84" s="146"/>
      <c r="AH84" s="146"/>
      <c r="AI84" s="146"/>
      <c r="AJ84" s="146"/>
      <c r="AK84" s="146"/>
      <c r="AL84" s="146"/>
      <c r="AM84" s="146"/>
      <c r="AN84" s="146"/>
      <c r="AO84" s="146"/>
      <c r="AP84" s="146"/>
      <c r="AQ84" s="146"/>
      <c r="AR84" s="146"/>
      <c r="AS84" s="146"/>
      <c r="AT84" s="146"/>
      <c r="AU84" s="146"/>
      <c r="AV84" s="146"/>
      <c r="AW84" s="146"/>
      <c r="AX84" s="146"/>
      <c r="AY84" s="146"/>
      <c r="AZ84" s="146"/>
      <c r="BA84" s="146"/>
      <c r="BB84" s="146"/>
      <c r="BC84" s="146"/>
    </row>
    <row r="85" spans="1:55" s="147" customFormat="1" ht="25" customHeight="1" x14ac:dyDescent="0.35">
      <c r="A85" s="120" t="s">
        <v>81</v>
      </c>
      <c r="B85" s="120"/>
      <c r="C85" s="120"/>
      <c r="D85" s="120"/>
      <c r="E85" s="120"/>
      <c r="F85" s="120"/>
      <c r="G85" s="120"/>
      <c r="H85" s="121"/>
      <c r="I85" s="275">
        <f>'PHP Requirement'!F10</f>
        <v>141.73062222222211</v>
      </c>
      <c r="J85" s="275">
        <f>I85*(1+J86)</f>
        <v>138.94952876681552</v>
      </c>
      <c r="K85" s="275">
        <f>J85*(1+K86)</f>
        <v>133.44401643473898</v>
      </c>
      <c r="L85" s="275">
        <f t="shared" ref="L85:O85" si="144">K85*(1+L86)</f>
        <v>142.4035793554456</v>
      </c>
      <c r="M85" s="275">
        <f t="shared" si="144"/>
        <v>151.964696170248</v>
      </c>
      <c r="N85" s="275">
        <f t="shared" si="144"/>
        <v>162.16775580109524</v>
      </c>
      <c r="O85" s="275">
        <f t="shared" si="144"/>
        <v>173.05585892200412</v>
      </c>
      <c r="P85" s="107"/>
      <c r="Q85" s="107"/>
      <c r="R85" s="107"/>
      <c r="S85" s="107"/>
      <c r="T85" s="107"/>
      <c r="U85" s="107"/>
      <c r="V85" s="107"/>
      <c r="W85" s="107"/>
      <c r="X85" s="107"/>
      <c r="Y85" s="107"/>
      <c r="Z85" s="107"/>
      <c r="AA85" s="107"/>
      <c r="AB85" s="107"/>
      <c r="AC85" s="237"/>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146"/>
      <c r="AZ85" s="146"/>
      <c r="BA85" s="146"/>
      <c r="BB85" s="146"/>
      <c r="BC85" s="146"/>
    </row>
    <row r="86" spans="1:55" s="147" customFormat="1" ht="25" customHeight="1" x14ac:dyDescent="0.35">
      <c r="A86" s="124" t="s">
        <v>31</v>
      </c>
      <c r="B86" s="120"/>
      <c r="C86" s="120"/>
      <c r="D86" s="120"/>
      <c r="E86" s="120"/>
      <c r="F86" s="120"/>
      <c r="G86" s="120"/>
      <c r="H86" s="125">
        <v>15440.3</v>
      </c>
      <c r="I86" s="126">
        <f>(1+I88)*(1+I90)*(1+I92)-1</f>
        <v>-5.9622389373596762E-2</v>
      </c>
      <c r="J86" s="126">
        <f>(1+J88)*(1+J90)*(1+J92)-1+4%</f>
        <v>-1.9622389373596762E-2</v>
      </c>
      <c r="K86" s="126">
        <f>(1+K88)*(1+K90)*(1+K92)-1+2%</f>
        <v>-3.9622389373596759E-2</v>
      </c>
      <c r="L86" s="126">
        <f t="shared" ref="L86:O86" si="145">(1+L88)*(1+L90)*(1+L92)-1</f>
        <v>6.7140986610578324E-2</v>
      </c>
      <c r="M86" s="126">
        <f t="shared" si="145"/>
        <v>6.7140986610578324E-2</v>
      </c>
      <c r="N86" s="126">
        <f t="shared" si="145"/>
        <v>6.7140986610578324E-2</v>
      </c>
      <c r="O86" s="126">
        <f t="shared" si="145"/>
        <v>6.7140986610578324E-2</v>
      </c>
      <c r="P86" s="107"/>
      <c r="Q86" s="107"/>
      <c r="R86" s="107"/>
      <c r="S86" s="107"/>
      <c r="T86" s="107"/>
      <c r="U86" s="107"/>
      <c r="V86" s="107"/>
      <c r="W86" s="107"/>
      <c r="X86" s="107"/>
      <c r="Y86" s="107"/>
      <c r="Z86" s="107"/>
      <c r="AA86" s="107"/>
      <c r="AB86" s="107"/>
      <c r="AC86" s="237"/>
      <c r="AD86" s="146"/>
      <c r="AE86" s="146"/>
      <c r="AF86" s="146"/>
      <c r="AG86" s="146"/>
      <c r="AH86" s="146"/>
      <c r="AI86" s="146"/>
      <c r="AJ86" s="146"/>
      <c r="AK86" s="146"/>
      <c r="AL86" s="146"/>
      <c r="AM86" s="146"/>
      <c r="AN86" s="146"/>
      <c r="AO86" s="146"/>
      <c r="AP86" s="146"/>
      <c r="AQ86" s="146"/>
      <c r="AR86" s="146"/>
      <c r="AS86" s="146"/>
      <c r="AT86" s="146"/>
      <c r="AU86" s="146"/>
      <c r="AV86" s="146"/>
      <c r="AW86" s="146"/>
      <c r="AX86" s="146"/>
      <c r="AY86" s="146"/>
      <c r="AZ86" s="146"/>
      <c r="BA86" s="146"/>
      <c r="BB86" s="146"/>
      <c r="BC86" s="146"/>
    </row>
    <row r="87" spans="1:55" s="147" customFormat="1" ht="100.5" customHeight="1" x14ac:dyDescent="0.35">
      <c r="A87" s="124" t="s">
        <v>71</v>
      </c>
      <c r="B87" s="274">
        <f t="shared" ref="B87:H87" si="146">B77</f>
        <v>4.9756765873015887</v>
      </c>
      <c r="C87" s="274">
        <f t="shared" si="146"/>
        <v>4.9413849206349205</v>
      </c>
      <c r="D87" s="274">
        <f t="shared" si="146"/>
        <v>5.4980454545454513</v>
      </c>
      <c r="E87" s="274">
        <f t="shared" si="146"/>
        <v>7.0401862745098018</v>
      </c>
      <c r="F87" s="274">
        <f t="shared" si="146"/>
        <v>9.5239011627907004</v>
      </c>
      <c r="G87" s="274">
        <f t="shared" si="146"/>
        <v>7.2274918287937746</v>
      </c>
      <c r="H87" s="274">
        <f t="shared" si="146"/>
        <v>6.3670274725274725</v>
      </c>
      <c r="I87" s="289">
        <f>H87*(1+I88)</f>
        <v>5.964985918086871</v>
      </c>
      <c r="J87" s="289">
        <f t="shared" ref="J87:O87" si="147">I87*(1+J88)</f>
        <v>5.5883310000624702</v>
      </c>
      <c r="K87" s="289">
        <f t="shared" si="147"/>
        <v>5.2354596968227742</v>
      </c>
      <c r="L87" s="289">
        <f t="shared" si="147"/>
        <v>5.5660491852149443</v>
      </c>
      <c r="M87" s="289">
        <f t="shared" si="147"/>
        <v>5.9175135186377661</v>
      </c>
      <c r="N87" s="289">
        <f t="shared" si="147"/>
        <v>6.2911708247702922</v>
      </c>
      <c r="O87" s="289">
        <f t="shared" si="147"/>
        <v>6.6884224635539349</v>
      </c>
      <c r="P87" s="107"/>
      <c r="Q87" s="107"/>
      <c r="R87" s="107"/>
      <c r="S87" s="107"/>
      <c r="T87" s="107"/>
      <c r="U87" s="107"/>
      <c r="V87" s="107"/>
      <c r="W87" s="107"/>
      <c r="X87" s="107"/>
      <c r="Y87" s="107"/>
      <c r="Z87" s="107"/>
      <c r="AA87" s="107"/>
      <c r="AB87" s="107"/>
      <c r="AC87" s="237"/>
      <c r="AD87" s="146"/>
      <c r="AE87" s="146"/>
      <c r="AF87" s="146"/>
      <c r="AG87" s="146"/>
      <c r="AH87" s="146"/>
      <c r="AI87" s="146"/>
      <c r="AJ87" s="146"/>
      <c r="AK87" s="146"/>
      <c r="AL87" s="146"/>
      <c r="AM87" s="146"/>
      <c r="AN87" s="146"/>
      <c r="AO87" s="146"/>
      <c r="AP87" s="146"/>
      <c r="AQ87" s="146"/>
      <c r="AR87" s="146"/>
      <c r="AS87" s="146"/>
      <c r="AT87" s="146"/>
      <c r="AU87" s="146"/>
      <c r="AV87" s="146"/>
      <c r="AW87" s="146"/>
      <c r="AX87" s="146"/>
      <c r="AY87" s="146"/>
      <c r="AZ87" s="146"/>
      <c r="BA87" s="146"/>
      <c r="BB87" s="146"/>
      <c r="BC87" s="146"/>
    </row>
    <row r="88" spans="1:55" s="147" customFormat="1" ht="25" customHeight="1" x14ac:dyDescent="0.35">
      <c r="A88" s="127" t="s">
        <v>72</v>
      </c>
      <c r="B88" s="127">
        <f>AVERAGE(C88:H88)</f>
        <v>6.3144309675957147E-2</v>
      </c>
      <c r="C88" s="126">
        <f>C87/B87-1</f>
        <v>-6.8918600445583289E-3</v>
      </c>
      <c r="D88" s="126">
        <f t="shared" ref="D88" si="148">D87/C87-1</f>
        <v>0.11265273660142339</v>
      </c>
      <c r="E88" s="126">
        <f>E87/D87-1</f>
        <v>0.28048891787342378</v>
      </c>
      <c r="F88" s="126">
        <f t="shared" ref="F88:G88" si="149">F87/E87-1</f>
        <v>0.35279107561025946</v>
      </c>
      <c r="G88" s="126">
        <f t="shared" si="149"/>
        <v>-0.24112065998425691</v>
      </c>
      <c r="H88" s="126">
        <f>H87/G87-1</f>
        <v>-0.11905435200054848</v>
      </c>
      <c r="I88" s="127">
        <f>-B88</f>
        <v>-6.3144309675957147E-2</v>
      </c>
      <c r="J88" s="127">
        <f>-B88</f>
        <v>-6.3144309675957147E-2</v>
      </c>
      <c r="K88" s="127">
        <f>J88</f>
        <v>-6.3144309675957147E-2</v>
      </c>
      <c r="L88" s="127">
        <f>-K88</f>
        <v>6.3144309675957147E-2</v>
      </c>
      <c r="M88" s="127">
        <f t="shared" ref="M88:O88" si="150">L88</f>
        <v>6.3144309675957147E-2</v>
      </c>
      <c r="N88" s="127">
        <f t="shared" si="150"/>
        <v>6.3144309675957147E-2</v>
      </c>
      <c r="O88" s="127">
        <f t="shared" si="150"/>
        <v>6.3144309675957147E-2</v>
      </c>
      <c r="P88" s="107"/>
      <c r="Q88" s="107"/>
      <c r="R88" s="107"/>
      <c r="S88" s="107"/>
      <c r="T88" s="107"/>
      <c r="U88" s="107"/>
      <c r="V88" s="107"/>
      <c r="W88" s="107"/>
      <c r="X88" s="107"/>
      <c r="Y88" s="107"/>
      <c r="Z88" s="107"/>
      <c r="AA88" s="107"/>
      <c r="AB88" s="107"/>
      <c r="AC88" s="237"/>
      <c r="AD88" s="146"/>
      <c r="AE88" s="146"/>
      <c r="AF88" s="146"/>
      <c r="AG88" s="146"/>
      <c r="AH88" s="146"/>
      <c r="AI88" s="146"/>
      <c r="AJ88" s="146"/>
      <c r="AK88" s="146"/>
      <c r="AL88" s="146"/>
      <c r="AM88" s="146"/>
      <c r="AN88" s="146"/>
      <c r="AO88" s="146"/>
      <c r="AP88" s="146"/>
      <c r="AQ88" s="146"/>
      <c r="AR88" s="146"/>
      <c r="AS88" s="146"/>
      <c r="AT88" s="146"/>
      <c r="AU88" s="146"/>
      <c r="AV88" s="146"/>
      <c r="AW88" s="146"/>
      <c r="AX88" s="146"/>
      <c r="AY88" s="146"/>
      <c r="AZ88" s="146"/>
      <c r="BA88" s="146"/>
      <c r="BB88" s="146"/>
      <c r="BC88" s="146"/>
    </row>
    <row r="89" spans="1:55" s="147" customFormat="1" ht="25" customHeight="1" x14ac:dyDescent="0.35">
      <c r="A89" s="124" t="s">
        <v>66</v>
      </c>
      <c r="B89" s="124">
        <f>B79</f>
        <v>0.12253531746031747</v>
      </c>
      <c r="C89" s="124">
        <f t="shared" ref="C89:H89" si="151">C79</f>
        <v>0.12333888888888893</v>
      </c>
      <c r="D89" s="124">
        <f t="shared" si="151"/>
        <v>0.12819525691699604</v>
      </c>
      <c r="E89" s="124">
        <f t="shared" si="151"/>
        <v>0.17712196078431353</v>
      </c>
      <c r="F89" s="124">
        <f t="shared" si="151"/>
        <v>0.18729883720930229</v>
      </c>
      <c r="G89" s="124">
        <f t="shared" si="151"/>
        <v>0.23972490272373539</v>
      </c>
      <c r="H89" s="124">
        <f t="shared" si="151"/>
        <v>0.20599780219780214</v>
      </c>
      <c r="I89" s="124">
        <f>H89*(1+I90)</f>
        <v>0.20172898483026</v>
      </c>
      <c r="J89" s="124">
        <f t="shared" ref="J89:O89" si="152">I89*(1+J90)</f>
        <v>0.19754862860901656</v>
      </c>
      <c r="K89" s="124">
        <f t="shared" si="152"/>
        <v>0.19345490038598168</v>
      </c>
      <c r="L89" s="124">
        <f t="shared" si="152"/>
        <v>0.18944600500072487</v>
      </c>
      <c r="M89" s="124">
        <f t="shared" si="152"/>
        <v>0.18552018449327093</v>
      </c>
      <c r="N89" s="124">
        <f t="shared" si="152"/>
        <v>0.18167571733320845</v>
      </c>
      <c r="O89" s="124">
        <f t="shared" si="152"/>
        <v>0.17791091766477318</v>
      </c>
      <c r="P89" s="107"/>
      <c r="Q89" s="107"/>
      <c r="R89" s="107"/>
      <c r="S89" s="107"/>
      <c r="T89" s="107"/>
      <c r="U89" s="107"/>
      <c r="V89" s="107"/>
      <c r="W89" s="107"/>
      <c r="X89" s="107"/>
      <c r="Y89" s="107"/>
      <c r="Z89" s="107"/>
      <c r="AA89" s="107"/>
      <c r="AB89" s="107"/>
      <c r="AC89" s="237"/>
      <c r="AD89" s="146"/>
      <c r="AE89" s="146"/>
      <c r="AF89" s="146"/>
      <c r="AG89" s="146"/>
      <c r="AH89" s="146"/>
      <c r="AI89" s="146"/>
      <c r="AJ89" s="146"/>
      <c r="AK89" s="146"/>
      <c r="AL89" s="146"/>
      <c r="AM89" s="146"/>
      <c r="AN89" s="146"/>
      <c r="AO89" s="146"/>
      <c r="AP89" s="146"/>
      <c r="AQ89" s="146"/>
      <c r="AR89" s="146"/>
      <c r="AS89" s="146"/>
      <c r="AT89" s="146"/>
      <c r="AU89" s="146"/>
      <c r="AV89" s="146"/>
      <c r="AW89" s="146"/>
      <c r="AX89" s="146"/>
      <c r="AY89" s="146"/>
      <c r="AZ89" s="146"/>
      <c r="BA89" s="146"/>
      <c r="BB89" s="146"/>
      <c r="BC89" s="146"/>
    </row>
    <row r="90" spans="1:55" ht="25" customHeight="1" x14ac:dyDescent="0.35">
      <c r="A90" s="124" t="s">
        <v>74</v>
      </c>
      <c r="B90" s="127">
        <f>B80</f>
        <v>-2.0722635494155206E-2</v>
      </c>
      <c r="C90" s="126">
        <f>C89/B89-1</f>
        <v>6.5578760901459088E-3</v>
      </c>
      <c r="D90" s="126">
        <f t="shared" ref="D90" si="153">D89/C89-1</f>
        <v>3.9374183372788529E-2</v>
      </c>
      <c r="E90" s="126">
        <f>E89/D89-1</f>
        <v>0.38165767629762293</v>
      </c>
      <c r="F90" s="126">
        <f t="shared" ref="F90:G90" si="154">F89/E89-1</f>
        <v>5.7456886655525619E-2</v>
      </c>
      <c r="G90" s="126">
        <f t="shared" si="154"/>
        <v>0.27990598497869024</v>
      </c>
      <c r="H90" s="126">
        <f>H89/G89-1</f>
        <v>-0.14069085081578347</v>
      </c>
      <c r="I90" s="127">
        <f>B90</f>
        <v>-2.0722635494155206E-2</v>
      </c>
      <c r="J90" s="126">
        <f>I90</f>
        <v>-2.0722635494155206E-2</v>
      </c>
      <c r="K90" s="126">
        <f t="shared" ref="K90:O90" si="155">J90</f>
        <v>-2.0722635494155206E-2</v>
      </c>
      <c r="L90" s="126">
        <f t="shared" si="155"/>
        <v>-2.0722635494155206E-2</v>
      </c>
      <c r="M90" s="126">
        <f t="shared" si="155"/>
        <v>-2.0722635494155206E-2</v>
      </c>
      <c r="N90" s="126">
        <f t="shared" si="155"/>
        <v>-2.0722635494155206E-2</v>
      </c>
      <c r="O90" s="126">
        <f t="shared" si="155"/>
        <v>-2.0722635494155206E-2</v>
      </c>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row>
    <row r="91" spans="1:55" ht="25" customHeight="1" x14ac:dyDescent="0.35">
      <c r="A91" s="124" t="s">
        <v>77</v>
      </c>
      <c r="B91" s="124">
        <f>B71</f>
        <v>14262</v>
      </c>
      <c r="C91" s="124">
        <f t="shared" ref="C91:H91" si="156">C71</f>
        <v>18116</v>
      </c>
      <c r="D91" s="124">
        <f t="shared" si="156"/>
        <v>17708</v>
      </c>
      <c r="E91" s="124">
        <f t="shared" si="156"/>
        <v>18705</v>
      </c>
      <c r="F91" s="124">
        <f t="shared" si="156"/>
        <v>20292</v>
      </c>
      <c r="G91" s="124">
        <f t="shared" si="156"/>
        <v>15169</v>
      </c>
      <c r="H91" s="124">
        <f t="shared" si="156"/>
        <v>22423</v>
      </c>
      <c r="I91" s="124">
        <f>H91*(1+I92)</f>
        <v>22983.574999999997</v>
      </c>
      <c r="J91" s="124">
        <f t="shared" ref="J91:O91" si="157">I91*(1+J92)</f>
        <v>23558.164374999997</v>
      </c>
      <c r="K91" s="124">
        <f t="shared" si="157"/>
        <v>24147.118484374994</v>
      </c>
      <c r="L91" s="124">
        <f t="shared" si="157"/>
        <v>24750.796446484368</v>
      </c>
      <c r="M91" s="124">
        <f t="shared" si="157"/>
        <v>25369.566357646476</v>
      </c>
      <c r="N91" s="124">
        <f t="shared" si="157"/>
        <v>26003.805516587636</v>
      </c>
      <c r="O91" s="124">
        <f t="shared" si="157"/>
        <v>26653.900654502326</v>
      </c>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row>
    <row r="92" spans="1:55" ht="25" customHeight="1" x14ac:dyDescent="0.35">
      <c r="A92" s="124" t="s">
        <v>79</v>
      </c>
      <c r="B92" s="127">
        <f>$AE$75</f>
        <v>2.5000000000000001E-2</v>
      </c>
      <c r="C92" s="126">
        <f>C91/B91-1</f>
        <v>0.27022857944187351</v>
      </c>
      <c r="D92" s="126">
        <f t="shared" ref="D92" si="158">D91/C91-1</f>
        <v>-2.2521527931110619E-2</v>
      </c>
      <c r="E92" s="126">
        <f>E91/D91-1</f>
        <v>5.630223627738884E-2</v>
      </c>
      <c r="F92" s="126">
        <f t="shared" ref="F92:G92" si="159">F91/E91-1</f>
        <v>8.4843624699278308E-2</v>
      </c>
      <c r="G92" s="126">
        <f t="shared" si="159"/>
        <v>-0.25246402523161837</v>
      </c>
      <c r="H92" s="126">
        <f>H91/G91-1</f>
        <v>0.47821214318676253</v>
      </c>
      <c r="I92" s="127">
        <f>B92</f>
        <v>2.5000000000000001E-2</v>
      </c>
      <c r="J92" s="126">
        <f>I92</f>
        <v>2.5000000000000001E-2</v>
      </c>
      <c r="K92" s="126">
        <f t="shared" ref="K92:O92" si="160">J92</f>
        <v>2.5000000000000001E-2</v>
      </c>
      <c r="L92" s="126">
        <f t="shared" si="160"/>
        <v>2.5000000000000001E-2</v>
      </c>
      <c r="M92" s="126">
        <f t="shared" si="160"/>
        <v>2.5000000000000001E-2</v>
      </c>
      <c r="N92" s="126">
        <f t="shared" si="160"/>
        <v>2.5000000000000001E-2</v>
      </c>
      <c r="O92" s="126">
        <f t="shared" si="160"/>
        <v>2.5000000000000001E-2</v>
      </c>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row>
    <row r="93" spans="1:55" ht="124.5" customHeight="1" x14ac:dyDescent="0.35">
      <c r="A93" s="376" t="s">
        <v>94</v>
      </c>
      <c r="B93" s="377"/>
      <c r="C93" s="377"/>
      <c r="D93" s="377"/>
      <c r="E93" s="377"/>
      <c r="F93" s="377"/>
      <c r="G93" s="377"/>
      <c r="H93" s="378"/>
      <c r="I93" s="315">
        <f>SUM(I95,I97,I99,I101)</f>
        <v>513130574.30555511</v>
      </c>
      <c r="J93" s="315">
        <f t="shared" ref="J93:N93" si="161">SUM(J95,J97,J99,J101)</f>
        <v>533968799.76370376</v>
      </c>
      <c r="K93" s="315">
        <f t="shared" si="161"/>
        <v>556213651.33368528</v>
      </c>
      <c r="L93" s="315">
        <f t="shared" si="161"/>
        <v>567362025.62875533</v>
      </c>
      <c r="M93" s="315">
        <f>SUM(M95,M97,M99,M101)</f>
        <v>580632607.09735894</v>
      </c>
      <c r="N93" s="315">
        <f t="shared" si="161"/>
        <v>596352227.04544914</v>
      </c>
      <c r="O93" s="315">
        <f>SUM(O95,O97,O99,O101)</f>
        <v>614940067.80386877</v>
      </c>
      <c r="P93" s="107"/>
      <c r="Q93" s="107"/>
      <c r="R93" s="107"/>
      <c r="S93" s="107"/>
      <c r="T93" s="107"/>
      <c r="U93" s="107"/>
      <c r="V93" s="107"/>
      <c r="W93" s="107"/>
      <c r="X93" s="107"/>
      <c r="Y93" s="107"/>
      <c r="Z93" s="275">
        <f t="shared" ref="Z93" si="162">O93*(1-Z94/2)</f>
        <v>614940067.80386877</v>
      </c>
      <c r="AA93" s="275">
        <f t="shared" ref="AA93" si="163">Z93*(1-AA94/2)</f>
        <v>614940067.80386877</v>
      </c>
      <c r="AB93" s="275">
        <f t="shared" ref="AB93" si="164">AA93*(1-AB94/2)</f>
        <v>614940067.80386877</v>
      </c>
      <c r="AC93" s="275">
        <f t="shared" ref="AC93" si="165">AB93*(1-AC94/2)</f>
        <v>614940067.80386877</v>
      </c>
      <c r="AD93" s="275" t="e">
        <f t="shared" ref="AD93" si="166">AC93*(1-AD94/2)</f>
        <v>#REF!</v>
      </c>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row>
    <row r="94" spans="1:55" ht="25" customHeight="1" x14ac:dyDescent="0.35">
      <c r="A94" s="373" t="s">
        <v>2</v>
      </c>
      <c r="B94" s="374"/>
      <c r="C94" s="374"/>
      <c r="D94" s="374"/>
      <c r="E94" s="374"/>
      <c r="F94" s="374"/>
      <c r="G94" s="374"/>
      <c r="H94" s="374"/>
      <c r="I94" s="374"/>
      <c r="J94" s="374"/>
      <c r="K94" s="374"/>
      <c r="L94" s="374"/>
      <c r="M94" s="374"/>
      <c r="N94" s="374"/>
      <c r="O94" s="375"/>
      <c r="P94" s="107"/>
      <c r="Q94" s="107"/>
      <c r="R94" s="107"/>
      <c r="S94" s="107"/>
      <c r="T94" s="107"/>
      <c r="U94" s="107"/>
      <c r="V94" s="107"/>
      <c r="W94" s="107"/>
      <c r="X94" s="107"/>
      <c r="Y94" s="107"/>
      <c r="Z94" s="107"/>
      <c r="AA94" s="107"/>
      <c r="AB94" s="107"/>
      <c r="AC94" s="107"/>
      <c r="AD94" s="106" t="e">
        <f>#REF!/#REF!-1</f>
        <v>#REF!</v>
      </c>
      <c r="AE94" s="106" t="e">
        <f>Z89/#REF!-1</f>
        <v>#REF!</v>
      </c>
      <c r="AF94" s="106" t="e">
        <f>AA89/Z89-1</f>
        <v>#DIV/0!</v>
      </c>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row>
    <row r="95" spans="1:55" ht="25" customHeight="1" x14ac:dyDescent="0.35">
      <c r="A95" s="120" t="s">
        <v>95</v>
      </c>
      <c r="B95" s="120"/>
      <c r="C95" s="120"/>
      <c r="D95" s="120"/>
      <c r="E95" s="120"/>
      <c r="F95" s="120"/>
      <c r="G95" s="120"/>
      <c r="H95" s="120"/>
      <c r="I95" s="121">
        <f>25%*I15</f>
        <v>64327414.666666605</v>
      </c>
      <c r="J95" s="121">
        <f t="shared" ref="J95:O95" si="167">25%*J15</f>
        <v>65771494.389904246</v>
      </c>
      <c r="K95" s="121">
        <f t="shared" si="167"/>
        <v>67217249.814178482</v>
      </c>
      <c r="L95" s="121">
        <f t="shared" si="167"/>
        <v>68668919.879574358</v>
      </c>
      <c r="M95" s="121">
        <f t="shared" si="167"/>
        <v>70132323.293823153</v>
      </c>
      <c r="N95" s="121">
        <f t="shared" si="167"/>
        <v>71616009.239188448</v>
      </c>
      <c r="O95" s="121">
        <f t="shared" si="167"/>
        <v>73132278.902025655</v>
      </c>
      <c r="P95" s="107"/>
      <c r="Q95" s="107"/>
      <c r="R95" s="107"/>
      <c r="S95" s="107"/>
      <c r="T95" s="107"/>
      <c r="U95" s="107"/>
      <c r="V95" s="107"/>
      <c r="W95" s="107"/>
      <c r="X95" s="107"/>
      <c r="Y95" s="107"/>
      <c r="Z95" s="107"/>
      <c r="AA95" s="107"/>
      <c r="AB95" s="107"/>
      <c r="AC95" s="107"/>
      <c r="AD95" s="107" t="e">
        <f>SUM(AB94:AF94)/5</f>
        <v>#REF!</v>
      </c>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row>
    <row r="96" spans="1:55" ht="25" customHeight="1" x14ac:dyDescent="0.35">
      <c r="A96" s="373" t="s">
        <v>80</v>
      </c>
      <c r="B96" s="374"/>
      <c r="C96" s="374"/>
      <c r="D96" s="374"/>
      <c r="E96" s="374"/>
      <c r="F96" s="374"/>
      <c r="G96" s="374"/>
      <c r="H96" s="374"/>
      <c r="I96" s="374"/>
      <c r="J96" s="374"/>
      <c r="K96" s="374"/>
      <c r="L96" s="374"/>
      <c r="M96" s="374"/>
      <c r="N96" s="374"/>
      <c r="O96" s="375"/>
      <c r="P96" s="107"/>
      <c r="Q96" s="107"/>
      <c r="R96" s="107"/>
      <c r="S96" s="107"/>
      <c r="T96" s="107"/>
      <c r="U96" s="107"/>
      <c r="V96" s="107"/>
      <c r="W96" s="107"/>
      <c r="X96" s="107"/>
      <c r="Y96" s="107"/>
      <c r="Z96" s="242"/>
      <c r="AA96" s="242"/>
      <c r="AB96" s="107"/>
      <c r="AC96" s="107"/>
      <c r="AD96" s="107"/>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row>
    <row r="97" spans="1:55" ht="25" customHeight="1" x14ac:dyDescent="0.35">
      <c r="A97" s="120" t="s">
        <v>95</v>
      </c>
      <c r="B97" s="120"/>
      <c r="C97" s="120"/>
      <c r="D97" s="120"/>
      <c r="E97" s="120"/>
      <c r="F97" s="120"/>
      <c r="G97" s="120"/>
      <c r="H97" s="120"/>
      <c r="I97" s="121">
        <f>25%*I27</f>
        <v>113343064.43055546</v>
      </c>
      <c r="J97" s="121">
        <f t="shared" ref="J97:O97" si="168">25%*J27</f>
        <v>121227914.9931571</v>
      </c>
      <c r="K97" s="121">
        <f t="shared" si="168"/>
        <v>129324943.81920429</v>
      </c>
      <c r="L97" s="121">
        <f t="shared" si="168"/>
        <v>124919739.42051432</v>
      </c>
      <c r="M97" s="121">
        <f t="shared" si="168"/>
        <v>120969501.2721691</v>
      </c>
      <c r="N97" s="121">
        <f t="shared" si="168"/>
        <v>117473508.93183713</v>
      </c>
      <c r="O97" s="121">
        <f t="shared" si="168"/>
        <v>114436203.40443909</v>
      </c>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row>
    <row r="98" spans="1:55" ht="25" customHeight="1" x14ac:dyDescent="0.35">
      <c r="A98" s="373" t="s">
        <v>55</v>
      </c>
      <c r="B98" s="374"/>
      <c r="C98" s="374"/>
      <c r="D98" s="374"/>
      <c r="E98" s="374"/>
      <c r="F98" s="374"/>
      <c r="G98" s="374"/>
      <c r="H98" s="374"/>
      <c r="I98" s="374"/>
      <c r="J98" s="374"/>
      <c r="K98" s="374"/>
      <c r="L98" s="374"/>
      <c r="M98" s="374"/>
      <c r="N98" s="374"/>
      <c r="O98" s="375"/>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row>
    <row r="99" spans="1:55" ht="25" customHeight="1" x14ac:dyDescent="0.35">
      <c r="A99" s="120" t="s">
        <v>95</v>
      </c>
      <c r="B99" s="120"/>
      <c r="C99" s="120"/>
      <c r="D99" s="120"/>
      <c r="E99" s="120"/>
      <c r="F99" s="120"/>
      <c r="G99" s="120"/>
      <c r="H99" s="120"/>
      <c r="I99" s="121">
        <f>25%*I39</f>
        <v>249665920.47222203</v>
      </c>
      <c r="J99" s="121">
        <f t="shared" ref="J99:O99" si="169">25%*J39</f>
        <v>256403019.89913145</v>
      </c>
      <c r="K99" s="121">
        <f t="shared" si="169"/>
        <v>263508061.53964862</v>
      </c>
      <c r="L99" s="121">
        <f t="shared" si="169"/>
        <v>271016100.42754549</v>
      </c>
      <c r="M99" s="121">
        <f t="shared" si="169"/>
        <v>278965728.05743283</v>
      </c>
      <c r="N99" s="121">
        <f t="shared" si="169"/>
        <v>287399505.03356677</v>
      </c>
      <c r="O99" s="121">
        <f t="shared" si="169"/>
        <v>296364456.19127196</v>
      </c>
      <c r="P99" s="107"/>
      <c r="Q99" s="107"/>
      <c r="R99" s="107"/>
      <c r="S99" s="107"/>
      <c r="T99" s="107"/>
      <c r="U99" s="107"/>
      <c r="V99" s="107"/>
      <c r="W99" s="107"/>
      <c r="X99" s="107"/>
      <c r="Y99" s="107"/>
      <c r="Z99" s="242"/>
      <c r="AA99" s="242"/>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row>
    <row r="100" spans="1:55" ht="25" customHeight="1" x14ac:dyDescent="0.35">
      <c r="A100" s="373" t="s">
        <v>5</v>
      </c>
      <c r="B100" s="374"/>
      <c r="C100" s="374"/>
      <c r="D100" s="374"/>
      <c r="E100" s="374"/>
      <c r="F100" s="374"/>
      <c r="G100" s="374"/>
      <c r="H100" s="374"/>
      <c r="I100" s="374"/>
      <c r="J100" s="374"/>
      <c r="K100" s="374"/>
      <c r="L100" s="374"/>
      <c r="M100" s="374"/>
      <c r="N100" s="374"/>
      <c r="O100" s="375"/>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row>
    <row r="101" spans="1:55" ht="25" customHeight="1" x14ac:dyDescent="0.35">
      <c r="A101" s="120" t="s">
        <v>95</v>
      </c>
      <c r="B101" s="120"/>
      <c r="C101" s="120"/>
      <c r="D101" s="120"/>
      <c r="E101" s="120"/>
      <c r="F101" s="120"/>
      <c r="G101" s="120"/>
      <c r="H101" s="120"/>
      <c r="I101" s="121">
        <f>25%*I51</f>
        <v>85794174.736111045</v>
      </c>
      <c r="J101" s="121">
        <f t="shared" ref="J101:O101" si="170">25%*J51</f>
        <v>90566370.481510922</v>
      </c>
      <c r="K101" s="121">
        <f t="shared" si="170"/>
        <v>96163396.160653904</v>
      </c>
      <c r="L101" s="121">
        <f t="shared" si="170"/>
        <v>102757265.90112109</v>
      </c>
      <c r="M101" s="121">
        <f t="shared" si="170"/>
        <v>110565054.47393394</v>
      </c>
      <c r="N101" s="121">
        <f t="shared" si="170"/>
        <v>119863203.84085682</v>
      </c>
      <c r="O101" s="121">
        <f t="shared" si="170"/>
        <v>131007129.30613206</v>
      </c>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row>
    <row r="102" spans="1:55" ht="120" customHeight="1" x14ac:dyDescent="0.35">
      <c r="A102" s="376" t="s">
        <v>96</v>
      </c>
      <c r="B102" s="377"/>
      <c r="C102" s="377"/>
      <c r="D102" s="377"/>
      <c r="E102" s="377"/>
      <c r="F102" s="377"/>
      <c r="G102" s="377"/>
      <c r="H102" s="378"/>
      <c r="I102" s="315">
        <f>0.3%*I3</f>
        <v>6157566.891666661</v>
      </c>
      <c r="J102" s="315">
        <f t="shared" ref="J102:O102" si="171">0.3%*J3</f>
        <v>6407625.5971644456</v>
      </c>
      <c r="K102" s="315">
        <f t="shared" si="171"/>
        <v>6674563.8160042232</v>
      </c>
      <c r="L102" s="315">
        <f t="shared" si="171"/>
        <v>6808344.307545064</v>
      </c>
      <c r="M102" s="315">
        <f t="shared" si="171"/>
        <v>6967591.2851683078</v>
      </c>
      <c r="N102" s="315">
        <f t="shared" si="171"/>
        <v>7156226.7245453894</v>
      </c>
      <c r="O102" s="315">
        <f t="shared" si="171"/>
        <v>7379280.8136464255</v>
      </c>
      <c r="P102" s="107"/>
      <c r="Q102" s="107"/>
      <c r="R102" s="107"/>
      <c r="S102" s="107"/>
      <c r="T102" s="107"/>
      <c r="U102" s="107"/>
      <c r="V102" s="107"/>
      <c r="W102" s="107"/>
      <c r="X102" s="107"/>
      <c r="Y102" s="107"/>
      <c r="Z102" s="275" t="e">
        <f>#REF!*(1-Z103/2)</f>
        <v>#REF!</v>
      </c>
      <c r="AA102" s="275" t="e">
        <f t="shared" ref="AA102" si="172">Z102*(1-AA103/2)</f>
        <v>#REF!</v>
      </c>
      <c r="AB102" s="275" t="e">
        <f t="shared" ref="AB102" si="173">AA102*(1-AB103/2)</f>
        <v>#REF!</v>
      </c>
      <c r="AC102" s="275" t="e">
        <f t="shared" ref="AC102" si="174">AB102*(1-AC103/2)</f>
        <v>#REF!</v>
      </c>
      <c r="AD102" s="275" t="e">
        <f t="shared" ref="AD102" si="175">AC102*(1-AD103/2)</f>
        <v>#REF!</v>
      </c>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row>
    <row r="103" spans="1:55" ht="124.5" customHeight="1" x14ac:dyDescent="0.35">
      <c r="A103" s="376" t="s">
        <v>97</v>
      </c>
      <c r="B103" s="377"/>
      <c r="C103" s="377"/>
      <c r="D103" s="377"/>
      <c r="E103" s="377"/>
      <c r="F103" s="377"/>
      <c r="G103" s="377"/>
      <c r="H103" s="378"/>
      <c r="I103" s="315">
        <v>0</v>
      </c>
      <c r="J103" s="315">
        <f>Financing!G32*'PHP Requirement'!C2</f>
        <v>15015252.231218735</v>
      </c>
      <c r="K103" s="315">
        <f>J103</f>
        <v>15015252.231218735</v>
      </c>
      <c r="L103" s="315">
        <f t="shared" ref="L103:N103" si="176">K103</f>
        <v>15015252.231218735</v>
      </c>
      <c r="M103" s="315">
        <f t="shared" si="176"/>
        <v>15015252.231218735</v>
      </c>
      <c r="N103" s="315">
        <f t="shared" si="176"/>
        <v>15015252.231218735</v>
      </c>
      <c r="O103" s="315">
        <f>N103</f>
        <v>15015252.231218735</v>
      </c>
      <c r="P103" s="107">
        <v>3892394.46447261</v>
      </c>
      <c r="Q103" s="107">
        <f>P103*'PHP Requirement'!C2</f>
        <v>222448181.20324033</v>
      </c>
      <c r="R103" s="107">
        <f>Q103*6.75%</f>
        <v>15015252.231218724</v>
      </c>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row>
    <row r="104" spans="1:55" ht="116.25" customHeight="1" x14ac:dyDescent="0.35">
      <c r="A104" s="376" t="s">
        <v>98</v>
      </c>
      <c r="B104" s="377"/>
      <c r="C104" s="377"/>
      <c r="D104" s="377"/>
      <c r="E104" s="377"/>
      <c r="F104" s="377"/>
      <c r="G104" s="377"/>
      <c r="H104" s="378"/>
      <c r="I104" s="315">
        <v>0</v>
      </c>
      <c r="J104" s="315">
        <f>$I$105/10</f>
        <v>26860238.888888866</v>
      </c>
      <c r="K104" s="315">
        <f t="shared" ref="K104:O104" si="177">$I$105/10</f>
        <v>26860238.888888866</v>
      </c>
      <c r="L104" s="315">
        <f t="shared" si="177"/>
        <v>26860238.888888866</v>
      </c>
      <c r="M104" s="315">
        <f t="shared" si="177"/>
        <v>26860238.888888866</v>
      </c>
      <c r="N104" s="315">
        <f t="shared" si="177"/>
        <v>26860238.888888866</v>
      </c>
      <c r="O104" s="315">
        <f t="shared" si="177"/>
        <v>26860238.888888866</v>
      </c>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row>
    <row r="105" spans="1:55" ht="25" customHeight="1" x14ac:dyDescent="0.35">
      <c r="A105" s="396" t="s">
        <v>99</v>
      </c>
      <c r="B105" s="397"/>
      <c r="C105" s="397"/>
      <c r="D105" s="397"/>
      <c r="E105" s="397"/>
      <c r="F105" s="397"/>
      <c r="G105" s="397"/>
      <c r="H105" s="398"/>
      <c r="I105" s="399">
        <f>Financing!F23</f>
        <v>268602388.88888866</v>
      </c>
      <c r="J105" s="400"/>
      <c r="K105" s="400"/>
      <c r="L105" s="400"/>
      <c r="M105" s="400"/>
      <c r="N105" s="400"/>
      <c r="O105" s="401"/>
      <c r="P105" s="107"/>
      <c r="Q105" s="107"/>
      <c r="R105" s="107"/>
      <c r="S105" s="107"/>
      <c r="T105" s="107"/>
      <c r="U105" s="107"/>
      <c r="V105" s="107"/>
      <c r="W105" s="107"/>
      <c r="X105" s="107"/>
      <c r="Y105" s="107"/>
      <c r="Z105" s="107"/>
      <c r="AA105" s="107"/>
      <c r="AB105" s="107"/>
      <c r="AC105" s="107"/>
      <c r="AD105" s="106">
        <v>0.40699999999999997</v>
      </c>
      <c r="AE105" s="175">
        <v>0.41</v>
      </c>
      <c r="AF105" s="106">
        <v>0.41599999999999998</v>
      </c>
      <c r="AG105" s="106">
        <v>0.42199999999999999</v>
      </c>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row>
    <row r="106" spans="1:55" ht="25" customHeight="1" x14ac:dyDescent="0.35">
      <c r="A106" s="396" t="s">
        <v>100</v>
      </c>
      <c r="B106" s="397"/>
      <c r="C106" s="397"/>
      <c r="D106" s="397"/>
      <c r="E106" s="397"/>
      <c r="F106" s="397"/>
      <c r="G106" s="397"/>
      <c r="H106" s="398"/>
      <c r="I106" s="396">
        <v>10</v>
      </c>
      <c r="J106" s="397"/>
      <c r="K106" s="397"/>
      <c r="L106" s="397"/>
      <c r="M106" s="397"/>
      <c r="N106" s="397"/>
      <c r="O106" s="397"/>
      <c r="P106" s="107"/>
      <c r="Q106" s="107"/>
      <c r="R106" s="107"/>
      <c r="S106" s="107"/>
      <c r="T106" s="107"/>
      <c r="U106" s="107"/>
      <c r="V106" s="107"/>
      <c r="W106" s="107"/>
      <c r="X106" s="107"/>
      <c r="Y106" s="107"/>
      <c r="Z106" s="107"/>
      <c r="AA106" s="107"/>
      <c r="AB106" s="107"/>
      <c r="AC106" s="107"/>
      <c r="AD106" s="176" t="e">
        <f>AD105/AC105-1</f>
        <v>#DIV/0!</v>
      </c>
      <c r="AE106" s="176">
        <f>AE105/AD105-1</f>
        <v>7.3710073710073765E-3</v>
      </c>
      <c r="AF106" s="176">
        <f>AF105/AE105-1</f>
        <v>1.4634146341463428E-2</v>
      </c>
      <c r="AG106" s="176">
        <f>AG105/AF105-1</f>
        <v>1.4423076923076872E-2</v>
      </c>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row>
    <row r="107" spans="1:55" ht="76.5" customHeight="1" x14ac:dyDescent="0.35">
      <c r="A107" s="376" t="s">
        <v>101</v>
      </c>
      <c r="B107" s="377"/>
      <c r="C107" s="377"/>
      <c r="D107" s="377"/>
      <c r="E107" s="377"/>
      <c r="F107" s="377"/>
      <c r="G107" s="377"/>
      <c r="H107" s="378"/>
      <c r="I107" s="315">
        <v>0</v>
      </c>
      <c r="J107" s="315">
        <v>0</v>
      </c>
      <c r="K107" s="315">
        <v>0</v>
      </c>
      <c r="L107" s="315">
        <v>0</v>
      </c>
      <c r="M107" s="315">
        <v>0</v>
      </c>
      <c r="N107" s="315">
        <v>0</v>
      </c>
      <c r="O107" s="315">
        <f>I105-SUM(J104:O104)</f>
        <v>107440955.55555546</v>
      </c>
      <c r="P107" s="107"/>
      <c r="Q107" s="107"/>
      <c r="R107" s="107"/>
      <c r="S107" s="107"/>
      <c r="T107" s="107"/>
      <c r="U107" s="107"/>
      <c r="V107" s="107"/>
      <c r="W107" s="107"/>
      <c r="X107" s="107"/>
      <c r="Y107" s="107"/>
      <c r="Z107" s="107"/>
      <c r="AA107" s="107"/>
      <c r="AB107" s="107"/>
      <c r="AC107" s="107"/>
      <c r="AD107" s="107" t="e">
        <f>SUM(AC106:AG106)/5</f>
        <v>#DIV/0!</v>
      </c>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row>
    <row r="108" spans="1:55" ht="76.5" customHeight="1" x14ac:dyDescent="0.35">
      <c r="A108" s="376" t="s">
        <v>102</v>
      </c>
      <c r="B108" s="377"/>
      <c r="C108" s="377"/>
      <c r="D108" s="377"/>
      <c r="E108" s="377"/>
      <c r="F108" s="377"/>
      <c r="G108" s="377"/>
      <c r="H108" s="378"/>
      <c r="I108" s="315">
        <f t="shared" ref="I108:O108" si="178">10%*(I3-I93)</f>
        <v>153939172.29166654</v>
      </c>
      <c r="J108" s="315">
        <f t="shared" si="178"/>
        <v>160190639.92911112</v>
      </c>
      <c r="K108" s="315">
        <f t="shared" si="178"/>
        <v>166864095.4001056</v>
      </c>
      <c r="L108" s="315">
        <f t="shared" si="178"/>
        <v>170208607.68862662</v>
      </c>
      <c r="M108" s="315">
        <f t="shared" si="178"/>
        <v>174189782.1292077</v>
      </c>
      <c r="N108" s="315">
        <f t="shared" si="178"/>
        <v>178905668.11363474</v>
      </c>
      <c r="O108" s="315">
        <f t="shared" si="178"/>
        <v>184482020.34116066</v>
      </c>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row>
    <row r="109" spans="1:55" ht="76.5" customHeight="1" x14ac:dyDescent="0.35">
      <c r="A109" s="376" t="s">
        <v>103</v>
      </c>
      <c r="B109" s="377"/>
      <c r="C109" s="377"/>
      <c r="D109" s="377"/>
      <c r="E109" s="377"/>
      <c r="F109" s="377"/>
      <c r="G109" s="377"/>
      <c r="H109" s="378"/>
      <c r="I109" s="315">
        <f t="shared" ref="I109:O109" si="179">10%*(I3-I93)</f>
        <v>153939172.29166654</v>
      </c>
      <c r="J109" s="315">
        <f t="shared" si="179"/>
        <v>160190639.92911112</v>
      </c>
      <c r="K109" s="315">
        <f t="shared" si="179"/>
        <v>166864095.4001056</v>
      </c>
      <c r="L109" s="315">
        <f t="shared" si="179"/>
        <v>170208607.68862662</v>
      </c>
      <c r="M109" s="315">
        <f t="shared" si="179"/>
        <v>174189782.1292077</v>
      </c>
      <c r="N109" s="315">
        <f t="shared" si="179"/>
        <v>178905668.11363474</v>
      </c>
      <c r="O109" s="315">
        <f t="shared" si="179"/>
        <v>184482020.34116066</v>
      </c>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row>
    <row r="110" spans="1:55" ht="76.5" customHeight="1" x14ac:dyDescent="0.35">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c r="AL110" s="107"/>
      <c r="AM110" s="107"/>
      <c r="AN110" s="107"/>
    </row>
    <row r="111" spans="1:55" ht="104.25" customHeight="1" x14ac:dyDescent="0.35">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c r="AL111" s="107"/>
      <c r="AM111" s="107"/>
      <c r="AN111" s="107"/>
    </row>
    <row r="112" spans="1:55" ht="48" customHeight="1" x14ac:dyDescent="0.35">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c r="AL112" s="107"/>
      <c r="AM112" s="107"/>
      <c r="AN112" s="107"/>
    </row>
    <row r="113" spans="1:40" ht="25" customHeight="1" x14ac:dyDescent="0.35">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107"/>
    </row>
    <row r="114" spans="1:40" ht="25" customHeight="1" x14ac:dyDescent="0.35">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c r="AL114" s="107"/>
      <c r="AM114" s="107"/>
      <c r="AN114" s="107"/>
    </row>
    <row r="115" spans="1:40" ht="25" customHeight="1" x14ac:dyDescent="0.3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c r="AJ115" s="107"/>
      <c r="AK115" s="107"/>
      <c r="AL115" s="107"/>
      <c r="AM115" s="107"/>
      <c r="AN115" s="107"/>
    </row>
    <row r="116" spans="1:40" ht="25" customHeight="1" x14ac:dyDescent="0.35">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7"/>
      <c r="AI116" s="107"/>
      <c r="AJ116" s="107"/>
      <c r="AK116" s="107"/>
      <c r="AL116" s="107"/>
      <c r="AM116" s="107"/>
      <c r="AN116" s="107"/>
    </row>
    <row r="117" spans="1:40" ht="25" customHeight="1" x14ac:dyDescent="0.35">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c r="AF117" s="107"/>
      <c r="AG117" s="107"/>
      <c r="AH117" s="107"/>
      <c r="AI117" s="107"/>
      <c r="AJ117" s="107"/>
      <c r="AK117" s="107"/>
      <c r="AL117" s="107"/>
      <c r="AM117" s="107"/>
      <c r="AN117" s="107"/>
    </row>
    <row r="118" spans="1:40" ht="25" customHeight="1" x14ac:dyDescent="0.35">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c r="AF118" s="107"/>
      <c r="AG118" s="107"/>
      <c r="AH118" s="107"/>
      <c r="AI118" s="107"/>
      <c r="AJ118" s="107"/>
      <c r="AK118" s="107"/>
      <c r="AL118" s="107"/>
      <c r="AM118" s="107"/>
      <c r="AN118" s="107"/>
    </row>
    <row r="119" spans="1:40" ht="25" customHeight="1" x14ac:dyDescent="0.35">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c r="AE119" s="107"/>
      <c r="AF119" s="107"/>
      <c r="AG119" s="107"/>
      <c r="AH119" s="107"/>
      <c r="AI119" s="107"/>
      <c r="AJ119" s="107"/>
      <c r="AK119" s="107"/>
      <c r="AL119" s="107"/>
      <c r="AM119" s="107"/>
      <c r="AN119" s="107"/>
    </row>
    <row r="120" spans="1:40" ht="78" customHeight="1" x14ac:dyDescent="0.35">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c r="AL120" s="107"/>
      <c r="AM120" s="107"/>
      <c r="AN120" s="107"/>
    </row>
    <row r="121" spans="1:40" ht="78" customHeight="1" x14ac:dyDescent="0.35">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c r="AL121" s="107"/>
      <c r="AM121" s="107"/>
      <c r="AN121" s="107"/>
    </row>
    <row r="122" spans="1:40" ht="84.75" customHeight="1" x14ac:dyDescent="0.35">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c r="AL122" s="107"/>
      <c r="AM122" s="107"/>
    </row>
    <row r="123" spans="1:40" ht="84.75" customHeight="1" x14ac:dyDescent="0.35">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c r="AL123" s="107"/>
      <c r="AM123" s="107"/>
    </row>
    <row r="124" spans="1:40" ht="93" customHeight="1" x14ac:dyDescent="0.35">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c r="AL124" s="107"/>
      <c r="AM124" s="107"/>
    </row>
    <row r="125" spans="1:40" ht="65.25" customHeight="1" x14ac:dyDescent="0.3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c r="AG125" s="107"/>
      <c r="AH125" s="107"/>
      <c r="AI125" s="107"/>
      <c r="AJ125" s="107"/>
      <c r="AK125" s="107"/>
      <c r="AL125" s="107"/>
      <c r="AM125" s="107"/>
    </row>
    <row r="126" spans="1:40" ht="59.25" customHeight="1" x14ac:dyDescent="0.35">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c r="AL126" s="107"/>
      <c r="AM126" s="107"/>
    </row>
    <row r="127" spans="1:40" ht="59.25" customHeight="1" x14ac:dyDescent="0.35">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c r="AL127" s="107"/>
      <c r="AM127" s="107"/>
    </row>
    <row r="128" spans="1:40" ht="25" customHeight="1" x14ac:dyDescent="0.35">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7"/>
      <c r="AI128" s="107"/>
      <c r="AJ128" s="107"/>
      <c r="AK128" s="107"/>
      <c r="AL128" s="107"/>
      <c r="AM128" s="107"/>
    </row>
    <row r="129" spans="1:40" ht="25" customHeight="1" x14ac:dyDescent="0.35">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c r="AL129" s="107"/>
      <c r="AM129" s="107"/>
    </row>
    <row r="130" spans="1:40" ht="25" customHeight="1" x14ac:dyDescent="0.35">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c r="AL130" s="107"/>
      <c r="AM130" s="107"/>
      <c r="AN130" s="107"/>
    </row>
    <row r="131" spans="1:40" ht="25" customHeight="1" x14ac:dyDescent="0.35">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c r="AL131" s="107"/>
      <c r="AM131" s="107"/>
      <c r="AN131" s="107"/>
    </row>
    <row r="132" spans="1:40" ht="25" customHeight="1" x14ac:dyDescent="0.35">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c r="AL132" s="107"/>
      <c r="AM132" s="107"/>
      <c r="AN132" s="107"/>
    </row>
    <row r="133" spans="1:40" ht="25" customHeight="1" x14ac:dyDescent="0.35">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c r="AL133" s="107"/>
      <c r="AM133" s="107"/>
      <c r="AN133" s="107"/>
    </row>
    <row r="134" spans="1:40" ht="25" customHeight="1" x14ac:dyDescent="0.35">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c r="AL134" s="107"/>
      <c r="AM134" s="107"/>
      <c r="AN134" s="107"/>
    </row>
    <row r="135" spans="1:40" ht="25" customHeight="1" x14ac:dyDescent="0.3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c r="AL135" s="107"/>
      <c r="AM135" s="107"/>
      <c r="AN135" s="107"/>
    </row>
    <row r="136" spans="1:40" ht="25" customHeight="1" x14ac:dyDescent="0.35">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c r="AL136" s="107"/>
      <c r="AM136" s="107"/>
      <c r="AN136" s="107"/>
    </row>
    <row r="137" spans="1:40" ht="25" customHeight="1" x14ac:dyDescent="0.35">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c r="AL137" s="107"/>
      <c r="AM137" s="107"/>
      <c r="AN137" s="107"/>
    </row>
    <row r="138" spans="1:40" ht="25" customHeight="1" x14ac:dyDescent="0.35">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c r="AN138" s="107"/>
    </row>
    <row r="139" spans="1:40" ht="25" customHeight="1" x14ac:dyDescent="0.35">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c r="AN139" s="107"/>
    </row>
    <row r="140" spans="1:40" ht="25" customHeight="1" x14ac:dyDescent="0.35">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c r="AL140" s="107"/>
      <c r="AM140" s="107"/>
      <c r="AN140" s="107"/>
    </row>
    <row r="141" spans="1:40" ht="25" customHeight="1" x14ac:dyDescent="0.35">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c r="AL141" s="107"/>
      <c r="AM141" s="107"/>
      <c r="AN141" s="107"/>
    </row>
    <row r="142" spans="1:40" ht="25" customHeight="1" x14ac:dyDescent="0.35">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c r="AL142" s="107"/>
      <c r="AM142" s="107"/>
      <c r="AN142" s="107"/>
    </row>
    <row r="143" spans="1:40" ht="25" customHeight="1" x14ac:dyDescent="0.35">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row>
    <row r="144" spans="1:40" ht="25" customHeight="1" x14ac:dyDescent="0.35">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row>
    <row r="145" spans="1:40" ht="25" customHeight="1" x14ac:dyDescent="0.3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c r="AL145" s="107"/>
      <c r="AM145" s="107"/>
      <c r="AN145" s="107"/>
    </row>
    <row r="146" spans="1:40" ht="25" customHeight="1" x14ac:dyDescent="0.35">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c r="AN146" s="107"/>
    </row>
    <row r="147" spans="1:40" ht="25" customHeight="1" x14ac:dyDescent="0.35">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c r="AL147" s="107"/>
      <c r="AM147" s="107"/>
      <c r="AN147" s="107"/>
    </row>
    <row r="148" spans="1:40" ht="25" customHeight="1" x14ac:dyDescent="0.35">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c r="AL148" s="107"/>
      <c r="AM148" s="107"/>
      <c r="AN148" s="107"/>
    </row>
    <row r="149" spans="1:40" ht="25" customHeight="1" x14ac:dyDescent="0.35">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c r="AL149" s="107"/>
      <c r="AM149" s="107"/>
      <c r="AN149" s="107"/>
    </row>
    <row r="150" spans="1:40" ht="25" customHeight="1" x14ac:dyDescent="0.35">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c r="AL150" s="107"/>
      <c r="AM150" s="107"/>
      <c r="AN150" s="107"/>
    </row>
    <row r="151" spans="1:40" ht="25" customHeight="1" x14ac:dyDescent="0.35">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c r="AL151" s="107"/>
      <c r="AM151" s="107"/>
      <c r="AN151" s="107"/>
    </row>
    <row r="152" spans="1:40" ht="25" customHeight="1" x14ac:dyDescent="0.35">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c r="AL152" s="107"/>
      <c r="AM152" s="107"/>
      <c r="AN152" s="107"/>
    </row>
    <row r="153" spans="1:40" ht="25" customHeight="1" x14ac:dyDescent="0.35">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c r="AL153" s="107"/>
      <c r="AM153" s="107"/>
      <c r="AN153" s="107"/>
    </row>
    <row r="154" spans="1:40" ht="25" customHeight="1" x14ac:dyDescent="0.35">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c r="AL154" s="107"/>
      <c r="AM154" s="107"/>
      <c r="AN154" s="107"/>
    </row>
    <row r="155" spans="1:40" ht="25" customHeight="1" x14ac:dyDescent="0.3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c r="AN155" s="107"/>
    </row>
    <row r="156" spans="1:40" ht="18" customHeight="1" x14ac:dyDescent="0.35">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c r="AL156" s="107"/>
      <c r="AM156" s="107"/>
      <c r="AN156" s="107"/>
    </row>
    <row r="157" spans="1:40" ht="18" customHeight="1" x14ac:dyDescent="0.35">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c r="AL157" s="107"/>
      <c r="AM157" s="107"/>
      <c r="AN157" s="107"/>
    </row>
    <row r="158" spans="1:40" ht="18" customHeight="1" x14ac:dyDescent="0.35">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c r="AL158" s="107"/>
      <c r="AM158" s="107"/>
      <c r="AN158" s="107"/>
    </row>
    <row r="159" spans="1:40" ht="18" customHeight="1" x14ac:dyDescent="0.35">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c r="AL159" s="107"/>
      <c r="AM159" s="107"/>
      <c r="AN159" s="107"/>
    </row>
    <row r="160" spans="1:40" ht="18" customHeight="1" x14ac:dyDescent="0.35">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c r="AL160" s="107"/>
      <c r="AM160" s="107"/>
      <c r="AN160" s="107"/>
    </row>
    <row r="161" spans="1:40" ht="18" customHeight="1" x14ac:dyDescent="0.35">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c r="AL161" s="107"/>
      <c r="AM161" s="107"/>
      <c r="AN161" s="107"/>
    </row>
    <row r="162" spans="1:40" ht="18" customHeight="1" x14ac:dyDescent="0.35">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07"/>
      <c r="AJ162" s="107"/>
      <c r="AK162" s="107"/>
      <c r="AL162" s="107"/>
      <c r="AM162" s="107"/>
      <c r="AN162" s="107"/>
    </row>
    <row r="163" spans="1:40" ht="18" customHeight="1" x14ac:dyDescent="0.35">
      <c r="A163" s="107"/>
      <c r="B163" s="107"/>
      <c r="C163" s="107"/>
      <c r="D163" s="107"/>
      <c r="E163" s="107"/>
      <c r="F163" s="107"/>
      <c r="G163" s="107"/>
      <c r="H163" s="107"/>
      <c r="I163" s="107"/>
      <c r="J163" s="107"/>
      <c r="K163" s="107"/>
      <c r="L163" s="206"/>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c r="AL163" s="107"/>
      <c r="AM163" s="107"/>
      <c r="AN163" s="107"/>
    </row>
    <row r="164" spans="1:40" ht="18" customHeight="1" x14ac:dyDescent="0.35">
      <c r="A164" s="107"/>
      <c r="B164" s="107"/>
      <c r="C164" s="107"/>
      <c r="D164" s="107"/>
      <c r="E164" s="107"/>
      <c r="F164" s="107"/>
      <c r="G164" s="107"/>
      <c r="H164" s="107"/>
      <c r="I164" s="107"/>
      <c r="J164" s="107"/>
      <c r="K164" s="107"/>
      <c r="L164" s="206"/>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c r="AL164" s="107"/>
      <c r="AM164" s="107"/>
      <c r="AN164" s="107"/>
    </row>
    <row r="165" spans="1:40" ht="18" customHeight="1" x14ac:dyDescent="0.35">
      <c r="A165" s="107"/>
      <c r="B165" s="107"/>
      <c r="C165" s="107"/>
      <c r="D165" s="107"/>
      <c r="E165" s="107"/>
      <c r="F165" s="107"/>
      <c r="G165" s="107"/>
      <c r="H165" s="107"/>
      <c r="I165" s="107"/>
      <c r="J165" s="107"/>
      <c r="K165" s="107"/>
      <c r="L165" s="20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7"/>
      <c r="AI165" s="107"/>
      <c r="AJ165" s="107"/>
      <c r="AK165" s="107"/>
      <c r="AL165" s="107"/>
      <c r="AM165" s="107"/>
      <c r="AN165" s="107"/>
    </row>
    <row r="166" spans="1:40" ht="18" customHeight="1" x14ac:dyDescent="0.35">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07"/>
      <c r="AJ166" s="107"/>
      <c r="AK166" s="107"/>
      <c r="AL166" s="107"/>
      <c r="AM166" s="107"/>
      <c r="AN166" s="107"/>
    </row>
    <row r="167" spans="1:40" ht="18" customHeight="1" x14ac:dyDescent="0.35">
      <c r="A167" s="107"/>
      <c r="B167" s="107"/>
      <c r="C167" s="107"/>
      <c r="D167" s="107"/>
      <c r="E167" s="107"/>
      <c r="F167" s="107"/>
      <c r="G167" s="107"/>
      <c r="H167" s="107"/>
      <c r="I167" s="107"/>
      <c r="J167" s="107"/>
      <c r="K167" s="107"/>
      <c r="L167" s="207"/>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c r="AL167" s="107"/>
      <c r="AM167" s="107"/>
      <c r="AN167" s="107"/>
    </row>
    <row r="168" spans="1:40" ht="18" customHeight="1" x14ac:dyDescent="0.35">
      <c r="A168" s="107"/>
      <c r="B168" s="107"/>
      <c r="C168" s="107"/>
      <c r="D168" s="107"/>
      <c r="E168" s="107"/>
      <c r="F168" s="107"/>
      <c r="G168" s="107"/>
      <c r="H168" s="107"/>
      <c r="I168" s="107"/>
      <c r="J168" s="107"/>
      <c r="K168" s="107"/>
      <c r="L168" s="2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7"/>
      <c r="AI168" s="107"/>
      <c r="AJ168" s="107"/>
      <c r="AK168" s="107"/>
      <c r="AL168" s="107"/>
      <c r="AM168" s="107"/>
      <c r="AN168" s="107"/>
    </row>
    <row r="169" spans="1:40" ht="18" customHeight="1" x14ac:dyDescent="0.35">
      <c r="A169" s="107"/>
      <c r="B169" s="107"/>
      <c r="C169" s="107"/>
      <c r="D169" s="107"/>
      <c r="E169" s="107"/>
      <c r="F169" s="107"/>
      <c r="G169" s="107"/>
      <c r="H169" s="107"/>
      <c r="I169" s="107"/>
      <c r="J169" s="107"/>
      <c r="K169" s="107"/>
      <c r="L169" s="205"/>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c r="AL169" s="107"/>
      <c r="AM169" s="107"/>
      <c r="AN169" s="107"/>
    </row>
    <row r="170" spans="1:40" ht="25" customHeight="1" x14ac:dyDescent="0.35">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c r="AL170" s="107"/>
      <c r="AM170" s="107"/>
      <c r="AN170" s="107"/>
    </row>
    <row r="171" spans="1:40" ht="25" customHeight="1" x14ac:dyDescent="0.35">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c r="AL171" s="107"/>
      <c r="AM171" s="107"/>
      <c r="AN171" s="107"/>
    </row>
    <row r="172" spans="1:40" ht="25" customHeight="1" x14ac:dyDescent="0.35">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c r="AL172" s="107"/>
      <c r="AM172" s="107"/>
      <c r="AN172" s="107"/>
    </row>
    <row r="173" spans="1:40" ht="25" customHeight="1" x14ac:dyDescent="0.35">
      <c r="A173" s="107"/>
      <c r="B173" s="107"/>
      <c r="C173" s="107"/>
      <c r="D173" s="107"/>
      <c r="E173" s="107"/>
      <c r="F173" s="107"/>
      <c r="G173" s="107"/>
      <c r="H173" s="107"/>
      <c r="I173" s="107"/>
      <c r="J173" s="107"/>
      <c r="K173" s="107"/>
      <c r="L173" s="107"/>
      <c r="M173" s="107"/>
      <c r="N173" s="107"/>
      <c r="O173" s="212" t="e">
        <f>AVERAGE(N174:N178)</f>
        <v>#DIV/0!</v>
      </c>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c r="AL173" s="107"/>
      <c r="AM173" s="107"/>
      <c r="AN173" s="107"/>
    </row>
    <row r="174" spans="1:40" ht="25" customHeight="1" x14ac:dyDescent="0.35">
      <c r="A174" s="107"/>
      <c r="B174" s="107"/>
      <c r="C174" s="107"/>
      <c r="D174" s="107"/>
      <c r="E174" s="107"/>
      <c r="F174" s="107"/>
      <c r="G174" s="107"/>
      <c r="H174" s="107"/>
      <c r="I174" s="107"/>
      <c r="J174" s="107"/>
      <c r="K174" s="107"/>
      <c r="L174" s="107"/>
      <c r="M174" s="107"/>
      <c r="N174" s="107"/>
      <c r="O174" s="107" t="e">
        <f>O173*O175</f>
        <v>#DIV/0!</v>
      </c>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c r="AL174" s="107"/>
      <c r="AM174" s="107"/>
      <c r="AN174" s="107"/>
    </row>
    <row r="175" spans="1:40" ht="25" customHeight="1" x14ac:dyDescent="0.35">
      <c r="A175" s="107"/>
      <c r="B175" s="107"/>
      <c r="C175" s="107"/>
      <c r="D175" s="107"/>
      <c r="E175" s="107"/>
      <c r="F175" s="107"/>
      <c r="G175" s="107"/>
      <c r="H175" s="107"/>
      <c r="I175" s="107"/>
      <c r="J175" s="107"/>
      <c r="K175" s="107"/>
      <c r="L175" s="107"/>
      <c r="M175" s="107"/>
      <c r="N175" s="107"/>
      <c r="O175" s="107">
        <v>0.41183312049907628</v>
      </c>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c r="AL175" s="107"/>
      <c r="AM175" s="107"/>
      <c r="AN175" s="107"/>
    </row>
    <row r="176" spans="1:40" ht="25" customHeight="1" x14ac:dyDescent="0.35">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c r="AL176" s="107"/>
      <c r="AM176" s="107"/>
      <c r="AN176" s="107"/>
    </row>
    <row r="177" spans="1:40" ht="25" customHeight="1" x14ac:dyDescent="0.35">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c r="AL177" s="107"/>
      <c r="AM177" s="107"/>
      <c r="AN177" s="107"/>
    </row>
    <row r="178" spans="1:40" ht="25" customHeight="1" x14ac:dyDescent="0.35">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c r="AL178" s="107"/>
      <c r="AM178" s="107"/>
      <c r="AN178" s="107"/>
    </row>
    <row r="179" spans="1:40" ht="25" customHeight="1" x14ac:dyDescent="0.35">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c r="AL179" s="107"/>
      <c r="AM179" s="107"/>
      <c r="AN179" s="107"/>
    </row>
    <row r="180" spans="1:40" ht="25" customHeight="1" x14ac:dyDescent="0.35">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c r="AL180" s="107"/>
      <c r="AM180" s="107"/>
      <c r="AN180" s="107"/>
    </row>
    <row r="181" spans="1:40" ht="25" customHeight="1" x14ac:dyDescent="0.35">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c r="AL181" s="107"/>
      <c r="AM181" s="107"/>
      <c r="AN181" s="107"/>
    </row>
    <row r="182" spans="1:40" ht="25" customHeight="1" x14ac:dyDescent="0.35">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07"/>
      <c r="AJ182" s="107"/>
      <c r="AK182" s="107"/>
      <c r="AL182" s="107"/>
      <c r="AM182" s="107"/>
      <c r="AN182" s="107"/>
    </row>
    <row r="183" spans="1:40" ht="25" customHeight="1" x14ac:dyDescent="0.35">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c r="AE183" s="107"/>
      <c r="AF183" s="107"/>
      <c r="AG183" s="107"/>
      <c r="AH183" s="107"/>
      <c r="AI183" s="107"/>
      <c r="AJ183" s="107"/>
      <c r="AK183" s="107"/>
      <c r="AL183" s="107"/>
      <c r="AM183" s="107"/>
      <c r="AN183" s="107"/>
    </row>
    <row r="184" spans="1:40" ht="25" customHeight="1" x14ac:dyDescent="0.35">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07"/>
      <c r="AJ184" s="107"/>
      <c r="AK184" s="107"/>
      <c r="AL184" s="107"/>
      <c r="AM184" s="107"/>
      <c r="AN184" s="107"/>
    </row>
    <row r="185" spans="1:40" ht="25" customHeight="1" x14ac:dyDescent="0.3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07"/>
      <c r="AJ185" s="107"/>
      <c r="AK185" s="107"/>
      <c r="AL185" s="107"/>
      <c r="AM185" s="107"/>
      <c r="AN185" s="107"/>
    </row>
    <row r="186" spans="1:40" ht="25" customHeight="1" x14ac:dyDescent="0.35">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c r="AL186" s="107"/>
      <c r="AM186" s="107"/>
      <c r="AN186" s="107"/>
    </row>
    <row r="187" spans="1:40" ht="25" customHeight="1" x14ac:dyDescent="0.35">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7"/>
      <c r="AL187" s="107"/>
      <c r="AM187" s="107"/>
      <c r="AN187" s="107"/>
    </row>
    <row r="188" spans="1:40" ht="25" customHeight="1" x14ac:dyDescent="0.35">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7"/>
      <c r="AL188" s="107"/>
      <c r="AM188" s="107"/>
      <c r="AN188" s="107"/>
    </row>
    <row r="189" spans="1:40" ht="25" customHeight="1" x14ac:dyDescent="0.35">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7"/>
      <c r="AL189" s="107"/>
      <c r="AM189" s="107"/>
      <c r="AN189" s="107"/>
    </row>
    <row r="190" spans="1:40" ht="25" customHeight="1" x14ac:dyDescent="0.35">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c r="AE190" s="107"/>
      <c r="AF190" s="107"/>
      <c r="AG190" s="107"/>
      <c r="AH190" s="107"/>
      <c r="AI190" s="107"/>
      <c r="AJ190" s="107"/>
      <c r="AK190" s="107"/>
      <c r="AL190" s="107"/>
      <c r="AM190" s="107"/>
      <c r="AN190" s="107"/>
    </row>
    <row r="191" spans="1:40" ht="25" customHeight="1" x14ac:dyDescent="0.35">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c r="AE191" s="107"/>
      <c r="AF191" s="107"/>
      <c r="AG191" s="107"/>
      <c r="AH191" s="107"/>
      <c r="AI191" s="107"/>
      <c r="AJ191" s="107"/>
      <c r="AK191" s="107"/>
      <c r="AL191" s="107"/>
      <c r="AM191" s="107"/>
      <c r="AN191" s="107"/>
    </row>
    <row r="192" spans="1:40" ht="25" customHeight="1" x14ac:dyDescent="0.35">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c r="AL192" s="107"/>
      <c r="AM192" s="107"/>
      <c r="AN192" s="107"/>
    </row>
    <row r="193" spans="1:40" ht="25" customHeight="1" x14ac:dyDescent="0.35">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c r="AE193" s="107"/>
      <c r="AF193" s="107"/>
      <c r="AG193" s="107"/>
      <c r="AH193" s="107"/>
      <c r="AI193" s="107"/>
      <c r="AJ193" s="107"/>
      <c r="AK193" s="107"/>
      <c r="AL193" s="107"/>
      <c r="AM193" s="107"/>
      <c r="AN193" s="107"/>
    </row>
    <row r="194" spans="1:40" ht="25" customHeight="1" x14ac:dyDescent="0.35">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c r="AE194" s="107"/>
      <c r="AF194" s="107"/>
      <c r="AG194" s="107"/>
      <c r="AH194" s="107"/>
      <c r="AI194" s="107"/>
      <c r="AJ194" s="107"/>
      <c r="AK194" s="107"/>
      <c r="AL194" s="107"/>
      <c r="AM194" s="107"/>
      <c r="AN194" s="107"/>
    </row>
    <row r="195" spans="1:40" ht="25" customHeight="1" x14ac:dyDescent="0.3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7"/>
      <c r="AL195" s="107"/>
      <c r="AM195" s="107"/>
      <c r="AN195" s="107"/>
    </row>
    <row r="196" spans="1:40" ht="25" customHeight="1" x14ac:dyDescent="0.35">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7"/>
      <c r="AL196" s="107"/>
      <c r="AM196" s="107"/>
      <c r="AN196" s="107"/>
    </row>
    <row r="197" spans="1:40" ht="25" customHeight="1" x14ac:dyDescent="0.35">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7"/>
      <c r="AL197" s="107"/>
      <c r="AM197" s="107"/>
      <c r="AN197" s="107"/>
    </row>
    <row r="198" spans="1:40" ht="25" customHeight="1" x14ac:dyDescent="0.35">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107"/>
      <c r="AF198" s="107"/>
      <c r="AG198" s="107"/>
      <c r="AH198" s="107"/>
      <c r="AI198" s="107"/>
      <c r="AJ198" s="107"/>
      <c r="AK198" s="107"/>
      <c r="AL198" s="107"/>
      <c r="AM198" s="107"/>
      <c r="AN198" s="107"/>
    </row>
    <row r="199" spans="1:40" ht="25" customHeight="1" x14ac:dyDescent="0.35">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c r="AE199" s="107"/>
      <c r="AF199" s="107"/>
      <c r="AG199" s="107"/>
      <c r="AH199" s="107"/>
      <c r="AI199" s="107"/>
      <c r="AJ199" s="107"/>
      <c r="AK199" s="107"/>
      <c r="AL199" s="107"/>
      <c r="AM199" s="107"/>
      <c r="AN199" s="107"/>
    </row>
    <row r="200" spans="1:40" ht="25" customHeight="1" x14ac:dyDescent="0.35">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7"/>
      <c r="AI200" s="107"/>
      <c r="AJ200" s="107"/>
      <c r="AK200" s="107"/>
      <c r="AL200" s="107"/>
      <c r="AM200" s="107"/>
      <c r="AN200" s="107"/>
    </row>
    <row r="201" spans="1:40" ht="25" customHeight="1" x14ac:dyDescent="0.35">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c r="AE201" s="107"/>
      <c r="AF201" s="107"/>
      <c r="AG201" s="107"/>
      <c r="AH201" s="107"/>
      <c r="AI201" s="107"/>
      <c r="AJ201" s="107"/>
      <c r="AK201" s="107"/>
      <c r="AL201" s="107"/>
      <c r="AM201" s="107"/>
      <c r="AN201" s="107"/>
    </row>
    <row r="202" spans="1:40" ht="25" customHeight="1" x14ac:dyDescent="0.35">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c r="AE202" s="107"/>
      <c r="AF202" s="107"/>
      <c r="AG202" s="107"/>
      <c r="AH202" s="107"/>
      <c r="AI202" s="107"/>
      <c r="AJ202" s="107"/>
      <c r="AK202" s="107"/>
      <c r="AL202" s="107"/>
      <c r="AM202" s="107"/>
      <c r="AN202" s="107"/>
    </row>
    <row r="203" spans="1:40" ht="25" customHeight="1" x14ac:dyDescent="0.35">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7"/>
      <c r="AI203" s="107"/>
      <c r="AJ203" s="107"/>
      <c r="AK203" s="107"/>
      <c r="AL203" s="107"/>
      <c r="AM203" s="107"/>
      <c r="AN203" s="107"/>
    </row>
    <row r="204" spans="1:40" ht="25" customHeight="1" x14ac:dyDescent="0.35">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c r="AE204" s="107"/>
      <c r="AF204" s="107"/>
      <c r="AG204" s="107"/>
      <c r="AH204" s="107"/>
      <c r="AI204" s="107"/>
      <c r="AJ204" s="107"/>
      <c r="AK204" s="107"/>
      <c r="AL204" s="107"/>
      <c r="AM204" s="107"/>
      <c r="AN204" s="107"/>
    </row>
    <row r="205" spans="1:40" ht="25" customHeight="1" x14ac:dyDescent="0.3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c r="AE205" s="107"/>
      <c r="AF205" s="107"/>
      <c r="AG205" s="107"/>
      <c r="AH205" s="107"/>
      <c r="AI205" s="107"/>
      <c r="AJ205" s="107"/>
      <c r="AK205" s="107"/>
      <c r="AL205" s="107"/>
      <c r="AM205" s="107"/>
      <c r="AN205" s="107"/>
    </row>
    <row r="206" spans="1:40" ht="25" customHeight="1" x14ac:dyDescent="0.35">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107"/>
      <c r="AF206" s="107"/>
      <c r="AG206" s="107"/>
      <c r="AH206" s="107"/>
      <c r="AI206" s="107"/>
      <c r="AJ206" s="107"/>
      <c r="AK206" s="107"/>
      <c r="AL206" s="107"/>
      <c r="AM206" s="107"/>
      <c r="AN206" s="107"/>
    </row>
    <row r="207" spans="1:40" ht="25" customHeight="1" x14ac:dyDescent="0.35">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7"/>
      <c r="AI207" s="107"/>
      <c r="AJ207" s="107"/>
      <c r="AK207" s="107"/>
      <c r="AL207" s="107"/>
      <c r="AM207" s="107"/>
      <c r="AN207" s="107"/>
    </row>
    <row r="208" spans="1:40" ht="25" customHeight="1" x14ac:dyDescent="0.35">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107"/>
      <c r="AF208" s="107"/>
      <c r="AG208" s="107"/>
      <c r="AH208" s="107"/>
      <c r="AI208" s="107"/>
      <c r="AJ208" s="107"/>
      <c r="AK208" s="107"/>
      <c r="AL208" s="107"/>
      <c r="AM208" s="107"/>
      <c r="AN208" s="107"/>
    </row>
    <row r="209" spans="1:40" ht="25" customHeight="1" x14ac:dyDescent="0.35">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107"/>
      <c r="AF209" s="107"/>
      <c r="AG209" s="107"/>
      <c r="AH209" s="107"/>
      <c r="AI209" s="107"/>
      <c r="AJ209" s="107"/>
      <c r="AK209" s="107"/>
      <c r="AL209" s="107"/>
      <c r="AM209" s="107"/>
      <c r="AN209" s="107"/>
    </row>
    <row r="210" spans="1:40" ht="25" customHeight="1" x14ac:dyDescent="0.35">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107"/>
      <c r="AF210" s="107"/>
      <c r="AG210" s="107"/>
      <c r="AH210" s="107"/>
      <c r="AI210" s="107"/>
      <c r="AJ210" s="107"/>
      <c r="AK210" s="107"/>
      <c r="AL210" s="107"/>
      <c r="AM210" s="107"/>
      <c r="AN210" s="107"/>
    </row>
    <row r="211" spans="1:40" ht="25" customHeight="1" x14ac:dyDescent="0.35">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107"/>
      <c r="AF211" s="107"/>
      <c r="AG211" s="107"/>
      <c r="AH211" s="107"/>
      <c r="AI211" s="107"/>
      <c r="AJ211" s="107"/>
      <c r="AK211" s="107"/>
      <c r="AL211" s="107"/>
      <c r="AM211" s="107"/>
      <c r="AN211" s="107"/>
    </row>
    <row r="212" spans="1:40" ht="25" customHeight="1" x14ac:dyDescent="0.35">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7"/>
      <c r="AF212" s="107"/>
      <c r="AG212" s="107"/>
      <c r="AH212" s="107"/>
      <c r="AI212" s="107"/>
      <c r="AJ212" s="107"/>
      <c r="AK212" s="107"/>
      <c r="AL212" s="107"/>
      <c r="AM212" s="107"/>
      <c r="AN212" s="107"/>
    </row>
    <row r="213" spans="1:40" ht="25" customHeight="1" x14ac:dyDescent="0.35">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7"/>
      <c r="AI213" s="107"/>
      <c r="AJ213" s="107"/>
      <c r="AK213" s="107"/>
      <c r="AL213" s="107"/>
      <c r="AM213" s="107"/>
      <c r="AN213" s="107"/>
    </row>
    <row r="214" spans="1:40" ht="25" customHeight="1" x14ac:dyDescent="0.35">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107"/>
      <c r="AF214" s="107"/>
      <c r="AG214" s="107"/>
      <c r="AH214" s="107"/>
      <c r="AI214" s="107"/>
      <c r="AJ214" s="107"/>
      <c r="AK214" s="107"/>
      <c r="AL214" s="107"/>
      <c r="AM214" s="107"/>
      <c r="AN214" s="107"/>
    </row>
    <row r="215" spans="1:40" ht="25" customHeight="1" x14ac:dyDescent="0.3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c r="AE215" s="107"/>
      <c r="AF215" s="107"/>
      <c r="AG215" s="107"/>
      <c r="AH215" s="107"/>
      <c r="AI215" s="107"/>
      <c r="AJ215" s="107"/>
      <c r="AK215" s="107"/>
      <c r="AL215" s="107"/>
      <c r="AM215" s="107"/>
      <c r="AN215" s="107"/>
    </row>
    <row r="216" spans="1:40" ht="25" customHeight="1" x14ac:dyDescent="0.35">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c r="AE216" s="107"/>
      <c r="AF216" s="107"/>
      <c r="AG216" s="107"/>
      <c r="AH216" s="107"/>
      <c r="AI216" s="107"/>
      <c r="AJ216" s="107"/>
      <c r="AK216" s="107"/>
      <c r="AL216" s="107"/>
      <c r="AM216" s="107"/>
      <c r="AN216" s="107"/>
    </row>
    <row r="217" spans="1:40" ht="25" customHeight="1" x14ac:dyDescent="0.35">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c r="AE217" s="107"/>
      <c r="AF217" s="107"/>
      <c r="AG217" s="107"/>
      <c r="AH217" s="107"/>
      <c r="AI217" s="107"/>
      <c r="AJ217" s="107"/>
      <c r="AK217" s="107"/>
      <c r="AL217" s="107"/>
      <c r="AM217" s="107"/>
      <c r="AN217" s="107"/>
    </row>
    <row r="218" spans="1:40" ht="25" customHeight="1" x14ac:dyDescent="0.35">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c r="AE218" s="107"/>
      <c r="AF218" s="107"/>
      <c r="AG218" s="107"/>
      <c r="AH218" s="107"/>
      <c r="AI218" s="107"/>
      <c r="AJ218" s="107"/>
      <c r="AK218" s="107"/>
      <c r="AL218" s="107"/>
      <c r="AM218" s="107"/>
      <c r="AN218" s="107"/>
    </row>
    <row r="219" spans="1:40" ht="25" customHeight="1" x14ac:dyDescent="0.35">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c r="AE219" s="107"/>
      <c r="AF219" s="107"/>
      <c r="AG219" s="107"/>
      <c r="AH219" s="107"/>
      <c r="AI219" s="107"/>
      <c r="AJ219" s="107"/>
      <c r="AK219" s="107"/>
      <c r="AL219" s="107"/>
      <c r="AM219" s="107"/>
      <c r="AN219" s="107"/>
    </row>
    <row r="220" spans="1:40" ht="25" customHeight="1" x14ac:dyDescent="0.35">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c r="AE220" s="107"/>
      <c r="AF220" s="107"/>
      <c r="AG220" s="107"/>
      <c r="AH220" s="107"/>
      <c r="AI220" s="107"/>
      <c r="AJ220" s="107"/>
      <c r="AK220" s="107"/>
      <c r="AL220" s="107"/>
      <c r="AM220" s="107"/>
      <c r="AN220" s="107"/>
    </row>
    <row r="221" spans="1:40" ht="25" customHeight="1" x14ac:dyDescent="0.35">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7"/>
      <c r="AF221" s="107"/>
      <c r="AG221" s="107"/>
      <c r="AH221" s="107"/>
      <c r="AI221" s="107"/>
      <c r="AJ221" s="107"/>
      <c r="AK221" s="107"/>
      <c r="AL221" s="107"/>
      <c r="AM221" s="107"/>
      <c r="AN221" s="107"/>
    </row>
    <row r="222" spans="1:40" ht="25" customHeight="1" x14ac:dyDescent="0.35">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07"/>
      <c r="AJ222" s="107"/>
      <c r="AK222" s="107"/>
      <c r="AL222" s="107"/>
      <c r="AM222" s="107"/>
      <c r="AN222" s="107"/>
    </row>
    <row r="223" spans="1:40" ht="25" customHeight="1" x14ac:dyDescent="0.35">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07"/>
      <c r="AJ223" s="107"/>
      <c r="AK223" s="107"/>
      <c r="AL223" s="107"/>
      <c r="AM223" s="107"/>
      <c r="AN223" s="107"/>
    </row>
    <row r="224" spans="1:40" ht="25" customHeight="1" x14ac:dyDescent="0.35">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c r="AL224" s="107"/>
      <c r="AM224" s="107"/>
      <c r="AN224" s="107"/>
    </row>
    <row r="225" spans="1:40" ht="25" customHeight="1" x14ac:dyDescent="0.3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c r="AL225" s="107"/>
      <c r="AM225" s="107"/>
      <c r="AN225" s="107"/>
    </row>
    <row r="226" spans="1:40" ht="25" customHeight="1" x14ac:dyDescent="0.35">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7"/>
      <c r="AI226" s="107"/>
      <c r="AJ226" s="107"/>
      <c r="AK226" s="107"/>
      <c r="AL226" s="107"/>
      <c r="AM226" s="107"/>
      <c r="AN226" s="107"/>
    </row>
    <row r="227" spans="1:40" ht="25" customHeight="1" x14ac:dyDescent="0.35">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7"/>
      <c r="AF227" s="107"/>
      <c r="AG227" s="107"/>
      <c r="AH227" s="107"/>
      <c r="AI227" s="107"/>
      <c r="AJ227" s="107"/>
      <c r="AK227" s="107"/>
      <c r="AL227" s="107"/>
      <c r="AM227" s="107"/>
      <c r="AN227" s="107"/>
    </row>
    <row r="228" spans="1:40" ht="25" customHeight="1" x14ac:dyDescent="0.35">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c r="AE228" s="107"/>
      <c r="AF228" s="107"/>
      <c r="AG228" s="107"/>
      <c r="AH228" s="107"/>
      <c r="AI228" s="107"/>
      <c r="AJ228" s="107"/>
      <c r="AK228" s="107"/>
      <c r="AL228" s="107"/>
      <c r="AM228" s="107"/>
      <c r="AN228" s="107"/>
    </row>
    <row r="229" spans="1:40" ht="25" customHeight="1" x14ac:dyDescent="0.35">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7"/>
      <c r="AI229" s="107"/>
      <c r="AJ229" s="107"/>
      <c r="AK229" s="107"/>
      <c r="AL229" s="107"/>
      <c r="AM229" s="107"/>
      <c r="AN229" s="107"/>
    </row>
    <row r="230" spans="1:40" ht="25" customHeight="1" x14ac:dyDescent="0.35">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7"/>
      <c r="AI230" s="107"/>
      <c r="AJ230" s="107"/>
      <c r="AK230" s="107"/>
      <c r="AL230" s="107"/>
      <c r="AM230" s="107"/>
      <c r="AN230" s="107"/>
    </row>
    <row r="231" spans="1:40" ht="25" customHeight="1" x14ac:dyDescent="0.35">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c r="AE231" s="107"/>
      <c r="AF231" s="107"/>
      <c r="AG231" s="107"/>
      <c r="AH231" s="107"/>
      <c r="AI231" s="107"/>
      <c r="AJ231" s="107"/>
      <c r="AK231" s="107"/>
      <c r="AL231" s="107"/>
      <c r="AM231" s="107"/>
      <c r="AN231" s="107"/>
    </row>
    <row r="232" spans="1:40" ht="25" customHeight="1" x14ac:dyDescent="0.35">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107"/>
      <c r="AF232" s="107"/>
      <c r="AG232" s="107"/>
      <c r="AH232" s="107"/>
      <c r="AI232" s="107"/>
      <c r="AJ232" s="107"/>
      <c r="AK232" s="107"/>
      <c r="AL232" s="107"/>
      <c r="AM232" s="107"/>
      <c r="AN232" s="107"/>
    </row>
    <row r="233" spans="1:40" ht="25" customHeight="1" x14ac:dyDescent="0.35">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c r="AE233" s="107"/>
      <c r="AF233" s="107"/>
      <c r="AG233" s="107"/>
      <c r="AH233" s="107"/>
      <c r="AI233" s="107"/>
      <c r="AJ233" s="107"/>
      <c r="AK233" s="107"/>
      <c r="AL233" s="107"/>
      <c r="AM233" s="107"/>
      <c r="AN233" s="107"/>
    </row>
    <row r="234" spans="1:40" ht="25" customHeight="1" x14ac:dyDescent="0.35">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c r="AE234" s="107"/>
      <c r="AF234" s="107"/>
      <c r="AG234" s="107"/>
      <c r="AH234" s="107"/>
      <c r="AI234" s="107"/>
      <c r="AJ234" s="107"/>
      <c r="AK234" s="107"/>
      <c r="AL234" s="107"/>
      <c r="AM234" s="107"/>
      <c r="AN234" s="107"/>
    </row>
    <row r="235" spans="1:40" ht="25" customHeight="1" x14ac:dyDescent="0.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c r="AE235" s="107"/>
      <c r="AF235" s="107"/>
      <c r="AG235" s="107"/>
      <c r="AH235" s="107"/>
      <c r="AI235" s="107"/>
      <c r="AJ235" s="107"/>
      <c r="AK235" s="107"/>
      <c r="AL235" s="107"/>
      <c r="AM235" s="107"/>
      <c r="AN235" s="107"/>
    </row>
    <row r="236" spans="1:40" ht="25" customHeight="1" x14ac:dyDescent="0.35">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c r="AE236" s="107"/>
      <c r="AF236" s="107"/>
      <c r="AG236" s="107"/>
      <c r="AH236" s="107"/>
      <c r="AI236" s="107"/>
      <c r="AJ236" s="107"/>
      <c r="AK236" s="107"/>
      <c r="AL236" s="107"/>
      <c r="AM236" s="107"/>
      <c r="AN236" s="107"/>
    </row>
    <row r="237" spans="1:40" ht="25" customHeight="1" x14ac:dyDescent="0.35">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c r="AL237" s="107"/>
      <c r="AM237" s="107"/>
      <c r="AN237" s="107"/>
    </row>
    <row r="238" spans="1:40" ht="25" customHeight="1" x14ac:dyDescent="0.35">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c r="AL238" s="107"/>
      <c r="AM238" s="107"/>
      <c r="AN238" s="107"/>
    </row>
    <row r="239" spans="1:40" ht="25" customHeight="1" x14ac:dyDescent="0.35">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c r="AE239" s="107"/>
      <c r="AF239" s="107"/>
      <c r="AG239" s="107"/>
      <c r="AH239" s="107"/>
      <c r="AI239" s="107"/>
      <c r="AJ239" s="107"/>
      <c r="AK239" s="107"/>
      <c r="AL239" s="107"/>
      <c r="AM239" s="107"/>
      <c r="AN239" s="107"/>
    </row>
    <row r="240" spans="1:40" ht="25" customHeight="1" x14ac:dyDescent="0.35">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c r="AE240" s="107"/>
      <c r="AF240" s="107"/>
      <c r="AG240" s="107"/>
      <c r="AH240" s="107"/>
      <c r="AI240" s="107"/>
      <c r="AJ240" s="107"/>
      <c r="AK240" s="107"/>
      <c r="AL240" s="107"/>
      <c r="AM240" s="107"/>
      <c r="AN240" s="107"/>
    </row>
    <row r="241" spans="1:40" ht="25" customHeight="1" x14ac:dyDescent="0.35">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c r="AE241" s="107"/>
      <c r="AF241" s="107"/>
      <c r="AG241" s="107"/>
      <c r="AH241" s="107"/>
      <c r="AI241" s="107"/>
      <c r="AJ241" s="107"/>
      <c r="AK241" s="107"/>
      <c r="AL241" s="107"/>
      <c r="AM241" s="107"/>
      <c r="AN241" s="107"/>
    </row>
    <row r="242" spans="1:40" ht="25" customHeight="1" x14ac:dyDescent="0.35">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c r="AE242" s="107"/>
      <c r="AF242" s="107"/>
      <c r="AG242" s="107"/>
      <c r="AH242" s="107"/>
      <c r="AI242" s="107"/>
      <c r="AJ242" s="107"/>
      <c r="AK242" s="107"/>
      <c r="AL242" s="107"/>
      <c r="AM242" s="107"/>
      <c r="AN242" s="107"/>
    </row>
    <row r="243" spans="1:40" ht="25" customHeight="1" x14ac:dyDescent="0.35">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c r="AL243" s="107"/>
      <c r="AM243" s="107"/>
      <c r="AN243" s="107"/>
    </row>
    <row r="244" spans="1:40" ht="25" customHeight="1" x14ac:dyDescent="0.35">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7"/>
      <c r="AI244" s="107"/>
      <c r="AJ244" s="107"/>
      <c r="AK244" s="107"/>
      <c r="AL244" s="107"/>
      <c r="AM244" s="107"/>
      <c r="AN244" s="107"/>
    </row>
    <row r="245" spans="1:40" ht="25" customHeight="1" x14ac:dyDescent="0.3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c r="AE245" s="107"/>
      <c r="AF245" s="107"/>
      <c r="AG245" s="107"/>
      <c r="AH245" s="107"/>
      <c r="AI245" s="107"/>
      <c r="AJ245" s="107"/>
      <c r="AK245" s="107"/>
      <c r="AL245" s="107"/>
      <c r="AM245" s="107"/>
      <c r="AN245" s="107"/>
    </row>
    <row r="246" spans="1:40" ht="25" customHeight="1" x14ac:dyDescent="0.35">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107"/>
      <c r="AF246" s="107"/>
      <c r="AG246" s="107"/>
      <c r="AH246" s="107"/>
      <c r="AI246" s="107"/>
      <c r="AJ246" s="107"/>
      <c r="AK246" s="107"/>
      <c r="AL246" s="107"/>
      <c r="AM246" s="107"/>
      <c r="AN246" s="107"/>
    </row>
    <row r="247" spans="1:40" ht="25" customHeight="1" x14ac:dyDescent="0.35">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c r="AE247" s="107"/>
      <c r="AF247" s="107"/>
      <c r="AG247" s="107"/>
      <c r="AH247" s="107"/>
      <c r="AI247" s="107"/>
      <c r="AJ247" s="107"/>
      <c r="AK247" s="107"/>
      <c r="AL247" s="107"/>
      <c r="AM247" s="107"/>
      <c r="AN247" s="107"/>
    </row>
    <row r="248" spans="1:40" ht="25" customHeight="1" x14ac:dyDescent="0.35">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c r="AE248" s="107"/>
      <c r="AF248" s="107"/>
      <c r="AG248" s="107"/>
      <c r="AH248" s="107"/>
      <c r="AI248" s="107"/>
      <c r="AJ248" s="107"/>
      <c r="AK248" s="107"/>
      <c r="AL248" s="107"/>
      <c r="AM248" s="107"/>
      <c r="AN248" s="107"/>
    </row>
    <row r="249" spans="1:40" ht="25" customHeight="1" x14ac:dyDescent="0.35">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c r="AE249" s="107"/>
      <c r="AF249" s="107"/>
      <c r="AG249" s="107"/>
      <c r="AH249" s="107"/>
      <c r="AI249" s="107"/>
      <c r="AJ249" s="107"/>
      <c r="AK249" s="107"/>
      <c r="AL249" s="107"/>
      <c r="AM249" s="107"/>
      <c r="AN249" s="107"/>
    </row>
    <row r="250" spans="1:40" ht="25" customHeight="1" x14ac:dyDescent="0.35">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c r="AE250" s="107"/>
      <c r="AF250" s="107"/>
      <c r="AG250" s="107"/>
      <c r="AH250" s="107"/>
      <c r="AI250" s="107"/>
      <c r="AJ250" s="107"/>
      <c r="AK250" s="107"/>
      <c r="AL250" s="107"/>
      <c r="AM250" s="107"/>
      <c r="AN250" s="107"/>
    </row>
    <row r="251" spans="1:40" ht="25" customHeight="1" x14ac:dyDescent="0.35">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107"/>
      <c r="AF251" s="107"/>
      <c r="AG251" s="107"/>
      <c r="AH251" s="107"/>
      <c r="AI251" s="107"/>
      <c r="AJ251" s="107"/>
      <c r="AK251" s="107"/>
      <c r="AL251" s="107"/>
      <c r="AM251" s="107"/>
      <c r="AN251" s="107"/>
    </row>
    <row r="252" spans="1:40" ht="25" customHeight="1" x14ac:dyDescent="0.35">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c r="AE252" s="107"/>
      <c r="AF252" s="107"/>
      <c r="AG252" s="107"/>
      <c r="AH252" s="107"/>
      <c r="AI252" s="107"/>
      <c r="AJ252" s="107"/>
      <c r="AK252" s="107"/>
      <c r="AL252" s="107"/>
      <c r="AM252" s="107"/>
      <c r="AN252" s="107"/>
    </row>
    <row r="253" spans="1:40" ht="25" customHeight="1" x14ac:dyDescent="0.35">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c r="AE253" s="107"/>
      <c r="AF253" s="107"/>
      <c r="AG253" s="107"/>
      <c r="AH253" s="107"/>
      <c r="AI253" s="107"/>
      <c r="AJ253" s="107"/>
      <c r="AK253" s="107"/>
      <c r="AL253" s="107"/>
      <c r="AM253" s="107"/>
      <c r="AN253" s="107"/>
    </row>
    <row r="254" spans="1:40" ht="25" customHeight="1" x14ac:dyDescent="0.35">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c r="AE254" s="107"/>
      <c r="AF254" s="107"/>
      <c r="AG254" s="107"/>
      <c r="AH254" s="107"/>
      <c r="AI254" s="107"/>
      <c r="AJ254" s="107"/>
      <c r="AK254" s="107"/>
      <c r="AL254" s="107"/>
      <c r="AM254" s="107"/>
      <c r="AN254" s="107"/>
    </row>
    <row r="255" spans="1:40" ht="25" customHeight="1" x14ac:dyDescent="0.3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c r="AE255" s="107"/>
      <c r="AF255" s="107"/>
      <c r="AG255" s="107"/>
      <c r="AH255" s="107"/>
      <c r="AI255" s="107"/>
      <c r="AJ255" s="107"/>
      <c r="AK255" s="107"/>
      <c r="AL255" s="107"/>
      <c r="AM255" s="107"/>
      <c r="AN255" s="107"/>
    </row>
    <row r="256" spans="1:40" ht="25" customHeight="1" x14ac:dyDescent="0.35">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7"/>
      <c r="AI256" s="107"/>
      <c r="AJ256" s="107"/>
      <c r="AK256" s="107"/>
      <c r="AL256" s="107"/>
      <c r="AM256" s="107"/>
      <c r="AN256" s="107"/>
    </row>
    <row r="257" spans="1:40" ht="25" customHeight="1" x14ac:dyDescent="0.35">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c r="AE257" s="107"/>
      <c r="AF257" s="107"/>
      <c r="AG257" s="107"/>
      <c r="AH257" s="107"/>
      <c r="AI257" s="107"/>
      <c r="AJ257" s="107"/>
      <c r="AK257" s="107"/>
      <c r="AL257" s="107"/>
      <c r="AM257" s="107"/>
      <c r="AN257" s="107"/>
    </row>
    <row r="258" spans="1:40" ht="25" customHeight="1" x14ac:dyDescent="0.35">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c r="AH258" s="107"/>
      <c r="AI258" s="107"/>
      <c r="AJ258" s="107"/>
      <c r="AK258" s="107"/>
      <c r="AL258" s="107"/>
      <c r="AM258" s="107"/>
      <c r="AN258" s="107"/>
    </row>
    <row r="259" spans="1:40" ht="25" customHeight="1" x14ac:dyDescent="0.35">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c r="AE259" s="107"/>
      <c r="AF259" s="107"/>
      <c r="AG259" s="107"/>
      <c r="AH259" s="107"/>
      <c r="AI259" s="107"/>
      <c r="AJ259" s="107"/>
      <c r="AK259" s="107"/>
      <c r="AL259" s="107"/>
      <c r="AM259" s="107"/>
      <c r="AN259" s="107"/>
    </row>
    <row r="260" spans="1:40" ht="25" customHeight="1" x14ac:dyDescent="0.35">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7"/>
      <c r="AI260" s="107"/>
      <c r="AJ260" s="107"/>
      <c r="AK260" s="107"/>
      <c r="AL260" s="107"/>
      <c r="AM260" s="107"/>
      <c r="AN260" s="107"/>
    </row>
    <row r="261" spans="1:40" ht="25" customHeight="1" x14ac:dyDescent="0.35">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c r="AE261" s="107"/>
      <c r="AF261" s="107"/>
      <c r="AG261" s="107"/>
      <c r="AH261" s="107"/>
      <c r="AI261" s="107"/>
      <c r="AJ261" s="107"/>
      <c r="AK261" s="107"/>
      <c r="AL261" s="107"/>
      <c r="AM261" s="107"/>
      <c r="AN261" s="107"/>
    </row>
    <row r="262" spans="1:40" ht="25" customHeight="1" x14ac:dyDescent="0.35">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c r="AE262" s="107"/>
      <c r="AF262" s="107"/>
      <c r="AG262" s="107"/>
      <c r="AH262" s="107"/>
      <c r="AI262" s="107"/>
      <c r="AJ262" s="107"/>
      <c r="AK262" s="107"/>
      <c r="AL262" s="107"/>
      <c r="AM262" s="107"/>
      <c r="AN262" s="107"/>
    </row>
    <row r="263" spans="1:40" ht="25" customHeight="1" x14ac:dyDescent="0.35">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c r="AE263" s="107"/>
      <c r="AF263" s="107"/>
      <c r="AG263" s="107"/>
      <c r="AH263" s="107"/>
      <c r="AI263" s="107"/>
      <c r="AJ263" s="107"/>
      <c r="AK263" s="107"/>
      <c r="AL263" s="107"/>
      <c r="AM263" s="107"/>
      <c r="AN263" s="107"/>
    </row>
    <row r="264" spans="1:40" ht="25" customHeight="1" x14ac:dyDescent="0.35">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c r="AE264" s="107"/>
      <c r="AF264" s="107"/>
      <c r="AG264" s="107"/>
      <c r="AH264" s="107"/>
      <c r="AI264" s="107"/>
      <c r="AJ264" s="107"/>
      <c r="AK264" s="107"/>
      <c r="AL264" s="107"/>
      <c r="AM264" s="107"/>
      <c r="AN264" s="107"/>
    </row>
    <row r="265" spans="1:40" ht="25" customHeight="1" x14ac:dyDescent="0.3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7"/>
      <c r="AI265" s="107"/>
      <c r="AJ265" s="107"/>
      <c r="AK265" s="107"/>
      <c r="AL265" s="107"/>
      <c r="AM265" s="107"/>
      <c r="AN265" s="107"/>
    </row>
    <row r="266" spans="1:40" ht="25" customHeight="1" x14ac:dyDescent="0.35">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c r="AE266" s="107"/>
      <c r="AF266" s="107"/>
      <c r="AG266" s="107"/>
      <c r="AH266" s="107"/>
      <c r="AI266" s="107"/>
      <c r="AJ266" s="107"/>
      <c r="AK266" s="107"/>
      <c r="AL266" s="107"/>
      <c r="AM266" s="107"/>
      <c r="AN266" s="107"/>
    </row>
    <row r="267" spans="1:40" ht="25" customHeight="1" x14ac:dyDescent="0.35">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c r="AE267" s="107"/>
      <c r="AF267" s="107"/>
      <c r="AG267" s="107"/>
      <c r="AH267" s="107"/>
      <c r="AI267" s="107"/>
      <c r="AJ267" s="107"/>
      <c r="AK267" s="107"/>
      <c r="AL267" s="107"/>
      <c r="AM267" s="107"/>
      <c r="AN267" s="107"/>
    </row>
    <row r="268" spans="1:40" ht="25" customHeight="1" x14ac:dyDescent="0.35">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7"/>
      <c r="AI268" s="107"/>
      <c r="AJ268" s="107"/>
      <c r="AK268" s="107"/>
      <c r="AL268" s="107"/>
      <c r="AM268" s="107"/>
      <c r="AN268" s="107"/>
    </row>
    <row r="269" spans="1:40" ht="25" customHeight="1" x14ac:dyDescent="0.35">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7"/>
      <c r="AI269" s="107"/>
      <c r="AJ269" s="107"/>
      <c r="AK269" s="107"/>
      <c r="AL269" s="107"/>
      <c r="AM269" s="107"/>
      <c r="AN269" s="107"/>
    </row>
    <row r="270" spans="1:40" ht="25" customHeight="1" x14ac:dyDescent="0.35">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c r="AE270" s="107"/>
      <c r="AF270" s="107"/>
      <c r="AG270" s="107"/>
      <c r="AH270" s="107"/>
      <c r="AI270" s="107"/>
      <c r="AJ270" s="107"/>
      <c r="AK270" s="107"/>
      <c r="AL270" s="107"/>
      <c r="AM270" s="107"/>
      <c r="AN270" s="107"/>
    </row>
    <row r="271" spans="1:40" ht="25" customHeight="1" x14ac:dyDescent="0.35">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c r="AE271" s="107"/>
      <c r="AF271" s="107"/>
      <c r="AG271" s="107"/>
      <c r="AH271" s="107"/>
      <c r="AI271" s="107"/>
      <c r="AJ271" s="107"/>
      <c r="AK271" s="107"/>
      <c r="AL271" s="107"/>
      <c r="AM271" s="107"/>
      <c r="AN271" s="107"/>
    </row>
    <row r="272" spans="1:40" ht="25" customHeight="1" x14ac:dyDescent="0.35">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c r="AE272" s="107"/>
      <c r="AF272" s="107"/>
      <c r="AG272" s="107"/>
      <c r="AH272" s="107"/>
      <c r="AI272" s="107"/>
      <c r="AJ272" s="107"/>
      <c r="AK272" s="107"/>
      <c r="AL272" s="107"/>
      <c r="AM272" s="107"/>
      <c r="AN272" s="107"/>
    </row>
    <row r="273" spans="1:40" ht="25" customHeight="1" x14ac:dyDescent="0.35">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c r="AE273" s="107"/>
      <c r="AF273" s="107"/>
      <c r="AG273" s="107"/>
      <c r="AH273" s="107"/>
      <c r="AI273" s="107"/>
      <c r="AJ273" s="107"/>
      <c r="AK273" s="107"/>
      <c r="AL273" s="107"/>
      <c r="AM273" s="107"/>
      <c r="AN273" s="107"/>
    </row>
    <row r="274" spans="1:40" ht="25" customHeight="1" x14ac:dyDescent="0.35">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c r="AE274" s="107"/>
      <c r="AF274" s="107"/>
      <c r="AG274" s="107"/>
      <c r="AH274" s="107"/>
      <c r="AI274" s="107"/>
      <c r="AJ274" s="107"/>
      <c r="AK274" s="107"/>
      <c r="AL274" s="107"/>
      <c r="AM274" s="107"/>
      <c r="AN274" s="107"/>
    </row>
    <row r="275" spans="1:40" ht="25" customHeight="1" x14ac:dyDescent="0.35">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c r="AE275" s="107"/>
      <c r="AF275" s="107"/>
      <c r="AG275" s="107"/>
      <c r="AH275" s="107"/>
      <c r="AI275" s="107"/>
      <c r="AJ275" s="107"/>
      <c r="AK275" s="107"/>
      <c r="AL275" s="107"/>
      <c r="AM275" s="107"/>
      <c r="AN275" s="107"/>
    </row>
    <row r="276" spans="1:40" ht="25" customHeight="1" x14ac:dyDescent="0.35">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c r="AE276" s="107"/>
      <c r="AF276" s="107"/>
      <c r="AG276" s="107"/>
      <c r="AH276" s="107"/>
      <c r="AI276" s="107"/>
      <c r="AJ276" s="107"/>
      <c r="AK276" s="107"/>
      <c r="AL276" s="107"/>
      <c r="AM276" s="107"/>
      <c r="AN276" s="107"/>
    </row>
    <row r="277" spans="1:40" ht="25" customHeight="1" x14ac:dyDescent="0.35">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c r="AE277" s="107"/>
      <c r="AF277" s="107"/>
      <c r="AG277" s="107"/>
      <c r="AH277" s="107"/>
      <c r="AI277" s="107"/>
      <c r="AJ277" s="107"/>
      <c r="AK277" s="107"/>
      <c r="AL277" s="107"/>
      <c r="AM277" s="107"/>
      <c r="AN277" s="107"/>
    </row>
    <row r="278" spans="1:40" ht="25" customHeight="1" x14ac:dyDescent="0.35">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c r="AE278" s="107"/>
      <c r="AF278" s="107"/>
      <c r="AG278" s="107"/>
      <c r="AH278" s="107"/>
      <c r="AI278" s="107"/>
      <c r="AJ278" s="107"/>
      <c r="AK278" s="107"/>
      <c r="AL278" s="107"/>
      <c r="AM278" s="107"/>
      <c r="AN278" s="107"/>
    </row>
    <row r="279" spans="1:40" ht="25" customHeight="1" x14ac:dyDescent="0.35">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107"/>
      <c r="AI279" s="107"/>
      <c r="AJ279" s="107"/>
      <c r="AK279" s="107"/>
      <c r="AL279" s="107"/>
      <c r="AM279" s="107"/>
      <c r="AN279" s="107"/>
    </row>
    <row r="280" spans="1:40" ht="25" customHeight="1" x14ac:dyDescent="0.35">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07"/>
      <c r="AJ280" s="107"/>
      <c r="AK280" s="107"/>
      <c r="AL280" s="107"/>
      <c r="AM280" s="107"/>
      <c r="AN280" s="107"/>
    </row>
    <row r="281" spans="1:40" ht="25" customHeight="1" x14ac:dyDescent="0.35">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07"/>
      <c r="AK281" s="107"/>
      <c r="AL281" s="107"/>
      <c r="AM281" s="107"/>
      <c r="AN281" s="107"/>
    </row>
    <row r="282" spans="1:40" ht="25" customHeight="1" x14ac:dyDescent="0.35">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7"/>
      <c r="AI282" s="107"/>
      <c r="AJ282" s="107"/>
      <c r="AK282" s="107"/>
      <c r="AL282" s="107"/>
      <c r="AM282" s="107"/>
      <c r="AN282" s="107"/>
    </row>
    <row r="283" spans="1:40" ht="25" customHeight="1" x14ac:dyDescent="0.35">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7"/>
      <c r="AI283" s="107"/>
      <c r="AJ283" s="107"/>
      <c r="AK283" s="107"/>
      <c r="AL283" s="107"/>
      <c r="AM283" s="107"/>
      <c r="AN283" s="107"/>
    </row>
    <row r="284" spans="1:40" ht="25" customHeight="1" x14ac:dyDescent="0.35">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7"/>
      <c r="AI284" s="107"/>
      <c r="AJ284" s="107"/>
      <c r="AK284" s="107"/>
      <c r="AL284" s="107"/>
      <c r="AM284" s="107"/>
      <c r="AN284" s="107"/>
    </row>
    <row r="285" spans="1:40" ht="25" customHeight="1" x14ac:dyDescent="0.35">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c r="AE285" s="107"/>
      <c r="AF285" s="107"/>
      <c r="AG285" s="107"/>
      <c r="AH285" s="107"/>
      <c r="AI285" s="107"/>
      <c r="AJ285" s="107"/>
      <c r="AK285" s="107"/>
      <c r="AL285" s="107"/>
      <c r="AM285" s="107"/>
      <c r="AN285" s="107"/>
    </row>
    <row r="286" spans="1:40" ht="25" customHeight="1" x14ac:dyDescent="0.35">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7"/>
      <c r="AI286" s="107"/>
      <c r="AJ286" s="107"/>
      <c r="AK286" s="107"/>
      <c r="AL286" s="107"/>
      <c r="AM286" s="107"/>
      <c r="AN286" s="107"/>
    </row>
    <row r="287" spans="1:40" ht="25" customHeight="1" x14ac:dyDescent="0.35">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7"/>
      <c r="AI287" s="107"/>
      <c r="AJ287" s="107"/>
      <c r="AK287" s="107"/>
      <c r="AL287" s="107"/>
      <c r="AM287" s="107"/>
      <c r="AN287" s="107"/>
    </row>
    <row r="288" spans="1:40" ht="25" customHeight="1" x14ac:dyDescent="0.35">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7"/>
      <c r="AI288" s="107"/>
      <c r="AJ288" s="107"/>
      <c r="AK288" s="107"/>
      <c r="AL288" s="107"/>
      <c r="AM288" s="107"/>
      <c r="AN288" s="107"/>
    </row>
    <row r="289" spans="1:55" ht="25" customHeight="1" x14ac:dyDescent="0.35">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7"/>
      <c r="AI289" s="107"/>
      <c r="AJ289" s="107"/>
      <c r="AK289" s="107"/>
      <c r="AL289" s="107"/>
      <c r="AM289" s="107"/>
      <c r="AN289" s="107"/>
    </row>
    <row r="290" spans="1:55" ht="25" customHeight="1" x14ac:dyDescent="0.35">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7"/>
      <c r="AI290" s="107"/>
      <c r="AJ290" s="107"/>
      <c r="AK290" s="107"/>
      <c r="AL290" s="107"/>
      <c r="AM290" s="107"/>
      <c r="AN290" s="107"/>
    </row>
    <row r="291" spans="1:55" ht="25" customHeight="1" x14ac:dyDescent="0.35">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107"/>
      <c r="AI291" s="107"/>
      <c r="AJ291" s="107"/>
      <c r="AK291" s="107"/>
      <c r="AL291" s="107"/>
      <c r="AM291" s="107"/>
      <c r="AN291" s="107"/>
    </row>
    <row r="292" spans="1:55" ht="25" customHeight="1" x14ac:dyDescent="0.35">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c r="AK292" s="107"/>
      <c r="AL292" s="107"/>
      <c r="AM292" s="107"/>
      <c r="AN292" s="107"/>
    </row>
    <row r="293" spans="1:55" ht="25" customHeight="1" x14ac:dyDescent="0.35">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107"/>
      <c r="AI293" s="107"/>
      <c r="AJ293" s="107"/>
      <c r="AK293" s="107"/>
      <c r="AL293" s="107"/>
      <c r="AM293" s="107"/>
      <c r="AN293" s="107"/>
    </row>
    <row r="294" spans="1:55" ht="25" customHeight="1" x14ac:dyDescent="0.35">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c r="AK294" s="107"/>
      <c r="AL294" s="107"/>
      <c r="AM294" s="107"/>
      <c r="AN294" s="107"/>
    </row>
    <row r="295" spans="1:55" ht="25" customHeight="1" x14ac:dyDescent="0.35">
      <c r="H295" s="245"/>
      <c r="I295" s="245"/>
      <c r="J295" s="245"/>
      <c r="K295" s="245"/>
      <c r="L295" s="245"/>
      <c r="M295" s="245"/>
      <c r="N295" s="245"/>
      <c r="O295" s="245"/>
      <c r="P295" s="107"/>
      <c r="Q295" s="107"/>
      <c r="R295" s="107"/>
      <c r="S295" s="107"/>
      <c r="T295" s="107"/>
      <c r="U295" s="107"/>
      <c r="V295" s="107"/>
      <c r="W295" s="107"/>
      <c r="X295" s="107"/>
      <c r="Y295" s="107"/>
      <c r="Z295" s="107"/>
      <c r="AA295" s="107"/>
      <c r="AB295" s="107"/>
      <c r="AC295" s="107"/>
      <c r="AD295" s="107"/>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row>
    <row r="296" spans="1:55" ht="25" customHeight="1" x14ac:dyDescent="0.35">
      <c r="H296" s="245"/>
      <c r="I296" s="245"/>
      <c r="J296" s="245"/>
      <c r="K296" s="245"/>
      <c r="L296" s="245"/>
      <c r="M296" s="245"/>
      <c r="N296" s="245"/>
      <c r="O296" s="245"/>
      <c r="P296" s="107"/>
      <c r="Q296" s="107"/>
      <c r="R296" s="107"/>
      <c r="S296" s="107"/>
      <c r="T296" s="107"/>
      <c r="U296" s="107"/>
      <c r="V296" s="107"/>
      <c r="W296" s="107"/>
      <c r="X296" s="107"/>
      <c r="Y296" s="107"/>
      <c r="Z296" s="107"/>
      <c r="AA296" s="107"/>
      <c r="AB296" s="107"/>
      <c r="AC296" s="107"/>
      <c r="AD296" s="107"/>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row>
    <row r="297" spans="1:55" ht="25" customHeight="1" x14ac:dyDescent="0.35">
      <c r="H297" s="245"/>
      <c r="I297" s="245"/>
      <c r="J297" s="245"/>
      <c r="K297" s="245"/>
      <c r="L297" s="245"/>
      <c r="M297" s="245"/>
      <c r="N297" s="245"/>
      <c r="O297" s="245"/>
      <c r="P297" s="107"/>
      <c r="Q297" s="107"/>
      <c r="R297" s="107"/>
      <c r="S297" s="107"/>
      <c r="T297" s="107"/>
      <c r="U297" s="107"/>
      <c r="V297" s="107"/>
      <c r="W297" s="107"/>
      <c r="X297" s="107"/>
      <c r="Y297" s="107"/>
      <c r="Z297" s="107"/>
      <c r="AA297" s="107"/>
      <c r="AB297" s="107"/>
      <c r="AC297" s="107"/>
      <c r="AD297" s="107"/>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row>
    <row r="298" spans="1:55" ht="25" customHeight="1" x14ac:dyDescent="0.35">
      <c r="H298" s="245"/>
      <c r="I298" s="245"/>
      <c r="J298" s="245"/>
      <c r="K298" s="245"/>
      <c r="L298" s="245"/>
      <c r="M298" s="245"/>
      <c r="N298" s="245"/>
      <c r="O298" s="245"/>
      <c r="P298" s="107"/>
      <c r="Q298" s="107"/>
      <c r="R298" s="107"/>
      <c r="S298" s="107"/>
      <c r="T298" s="107"/>
      <c r="U298" s="107"/>
      <c r="V298" s="107"/>
      <c r="W298" s="107"/>
      <c r="X298" s="107"/>
      <c r="Y298" s="107"/>
      <c r="Z298" s="107"/>
      <c r="AA298" s="107"/>
      <c r="AB298" s="107"/>
      <c r="AC298" s="107"/>
      <c r="AD298" s="107"/>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row>
    <row r="299" spans="1:55" ht="25" customHeight="1" x14ac:dyDescent="0.35">
      <c r="H299" s="245"/>
      <c r="I299" s="245"/>
      <c r="J299" s="245"/>
      <c r="K299" s="245"/>
      <c r="L299" s="245"/>
      <c r="M299" s="245"/>
      <c r="N299" s="245"/>
      <c r="O299" s="245"/>
      <c r="P299" s="107"/>
      <c r="Q299" s="107"/>
      <c r="R299" s="107"/>
      <c r="S299" s="107"/>
      <c r="T299" s="107"/>
      <c r="U299" s="107"/>
      <c r="V299" s="107"/>
      <c r="W299" s="107"/>
      <c r="X299" s="107"/>
      <c r="Y299" s="107"/>
      <c r="Z299" s="107"/>
      <c r="AA299" s="107"/>
      <c r="AB299" s="107"/>
      <c r="AC299" s="107"/>
      <c r="AD299" s="107"/>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row>
    <row r="300" spans="1:55" ht="25" customHeight="1" x14ac:dyDescent="0.35">
      <c r="H300" s="245"/>
      <c r="I300" s="245"/>
      <c r="J300" s="245"/>
      <c r="K300" s="245"/>
      <c r="L300" s="245"/>
      <c r="M300" s="245"/>
      <c r="N300" s="245"/>
      <c r="O300" s="245"/>
      <c r="P300" s="107"/>
      <c r="Q300" s="107"/>
      <c r="R300" s="107"/>
      <c r="S300" s="107"/>
      <c r="T300" s="107"/>
      <c r="U300" s="107"/>
      <c r="V300" s="107"/>
      <c r="W300" s="107"/>
      <c r="X300" s="107"/>
      <c r="Y300" s="107"/>
      <c r="Z300" s="107"/>
      <c r="AA300" s="107"/>
      <c r="AB300" s="107"/>
      <c r="AC300" s="107"/>
      <c r="AD300" s="107"/>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row>
    <row r="301" spans="1:55" ht="25" customHeight="1" x14ac:dyDescent="0.35">
      <c r="H301" s="245"/>
      <c r="I301" s="245"/>
      <c r="J301" s="245"/>
      <c r="K301" s="245"/>
      <c r="L301" s="200"/>
      <c r="M301" s="200"/>
      <c r="N301" s="200"/>
      <c r="O301" s="200"/>
      <c r="P301" s="107"/>
      <c r="Q301" s="107"/>
      <c r="R301" s="107"/>
      <c r="S301" s="107"/>
      <c r="T301" s="107"/>
      <c r="U301" s="107"/>
      <c r="V301" s="107"/>
      <c r="W301" s="107"/>
      <c r="X301" s="107"/>
      <c r="Y301" s="107"/>
      <c r="Z301" s="107"/>
      <c r="AA301" s="107"/>
      <c r="AB301" s="107"/>
      <c r="AC301" s="107"/>
      <c r="AD301" s="107"/>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row>
    <row r="302" spans="1:55" ht="25" customHeight="1" x14ac:dyDescent="0.35">
      <c r="H302" s="245"/>
      <c r="I302" s="245"/>
      <c r="J302" s="245"/>
      <c r="K302" s="245"/>
      <c r="L302" s="201"/>
      <c r="M302" s="202"/>
      <c r="N302" s="202"/>
      <c r="O302" s="202"/>
      <c r="P302" s="107"/>
      <c r="Q302" s="107"/>
      <c r="R302" s="107"/>
      <c r="S302" s="107"/>
      <c r="T302" s="107"/>
      <c r="U302" s="107"/>
      <c r="V302" s="107"/>
      <c r="W302" s="107"/>
      <c r="X302" s="107"/>
      <c r="Y302" s="107"/>
      <c r="Z302" s="107"/>
      <c r="AA302" s="107"/>
      <c r="AB302" s="107"/>
      <c r="AC302" s="107"/>
      <c r="AD302" s="107"/>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row>
    <row r="303" spans="1:55" ht="25" customHeight="1" x14ac:dyDescent="0.35">
      <c r="H303" s="245"/>
      <c r="I303" s="245"/>
      <c r="J303" s="245"/>
      <c r="K303" s="245"/>
      <c r="L303" s="201"/>
      <c r="M303" s="202"/>
      <c r="N303" s="202"/>
      <c r="O303" s="202"/>
      <c r="P303" s="107"/>
      <c r="Q303" s="107"/>
      <c r="R303" s="107"/>
      <c r="S303" s="107"/>
      <c r="T303" s="107"/>
      <c r="U303" s="107"/>
      <c r="V303" s="107"/>
      <c r="W303" s="107"/>
      <c r="X303" s="107"/>
      <c r="Y303" s="107"/>
      <c r="Z303" s="107"/>
      <c r="AA303" s="107"/>
      <c r="AB303" s="107"/>
      <c r="AC303" s="107"/>
      <c r="AD303" s="107"/>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row>
    <row r="304" spans="1:55" ht="25" customHeight="1" x14ac:dyDescent="0.35">
      <c r="H304" s="245"/>
      <c r="I304" s="245"/>
      <c r="J304" s="245"/>
      <c r="K304" s="245"/>
      <c r="L304" s="201"/>
      <c r="M304" s="202"/>
      <c r="N304" s="202"/>
      <c r="O304" s="202"/>
      <c r="P304" s="107"/>
      <c r="Q304" s="107"/>
      <c r="R304" s="107"/>
      <c r="S304" s="107"/>
      <c r="T304" s="107"/>
      <c r="U304" s="107"/>
      <c r="V304" s="107"/>
      <c r="W304" s="107"/>
      <c r="X304" s="107"/>
      <c r="Y304" s="107"/>
      <c r="Z304" s="107"/>
      <c r="AA304" s="107"/>
      <c r="AB304" s="107"/>
      <c r="AC304" s="107"/>
      <c r="AD304" s="107"/>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row>
    <row r="305" spans="8:55" ht="25" customHeight="1" x14ac:dyDescent="0.35">
      <c r="H305" s="245"/>
      <c r="I305" s="245"/>
      <c r="J305" s="245"/>
      <c r="K305" s="245"/>
      <c r="L305" s="201"/>
      <c r="M305" s="202"/>
      <c r="N305" s="202"/>
      <c r="O305" s="202"/>
      <c r="P305" s="107"/>
      <c r="Q305" s="107"/>
      <c r="R305" s="107"/>
      <c r="S305" s="107"/>
      <c r="T305" s="107"/>
      <c r="U305" s="107"/>
      <c r="V305" s="107"/>
      <c r="W305" s="107"/>
      <c r="X305" s="107"/>
      <c r="Y305" s="107"/>
      <c r="Z305" s="107"/>
      <c r="AA305" s="107"/>
      <c r="AB305" s="107"/>
      <c r="AC305" s="107"/>
      <c r="AD305" s="107"/>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row>
    <row r="306" spans="8:55" ht="25" customHeight="1" x14ac:dyDescent="0.35">
      <c r="H306" s="245"/>
      <c r="I306" s="245"/>
      <c r="J306" s="245"/>
      <c r="K306" s="245"/>
      <c r="L306" s="201"/>
      <c r="M306" s="202"/>
      <c r="N306" s="202"/>
      <c r="O306" s="202"/>
      <c r="P306" s="107"/>
      <c r="Q306" s="107"/>
      <c r="R306" s="107"/>
      <c r="S306" s="107"/>
      <c r="T306" s="107"/>
      <c r="U306" s="107"/>
      <c r="V306" s="107"/>
      <c r="W306" s="107"/>
      <c r="X306" s="107"/>
      <c r="Y306" s="107"/>
      <c r="Z306" s="107"/>
      <c r="AA306" s="107"/>
      <c r="AB306" s="107"/>
      <c r="AC306" s="107"/>
      <c r="AD306" s="107"/>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row>
    <row r="307" spans="8:55" ht="25" customHeight="1" x14ac:dyDescent="0.35">
      <c r="H307" s="245"/>
      <c r="I307" s="245"/>
      <c r="J307" s="245"/>
      <c r="K307" s="245"/>
      <c r="L307" s="203"/>
      <c r="M307" s="204"/>
      <c r="N307" s="204"/>
      <c r="O307" s="204"/>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row>
    <row r="308" spans="8:55" ht="25" customHeight="1" x14ac:dyDescent="0.35">
      <c r="H308" s="245"/>
      <c r="I308" s="245"/>
      <c r="J308" s="245"/>
      <c r="K308" s="245"/>
      <c r="L308" s="205"/>
      <c r="M308" s="206"/>
      <c r="N308" s="206"/>
      <c r="O308" s="206"/>
      <c r="P308" s="107"/>
      <c r="Q308" s="107"/>
      <c r="R308" s="107"/>
      <c r="S308" s="107"/>
      <c r="T308" s="107"/>
      <c r="U308" s="107"/>
      <c r="V308" s="107"/>
      <c r="W308" s="107"/>
      <c r="X308" s="107"/>
      <c r="Y308" s="107"/>
      <c r="Z308" s="107"/>
      <c r="AA308" s="107"/>
      <c r="AB308" s="107"/>
      <c r="AC308" s="107"/>
      <c r="AD308" s="107"/>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row>
    <row r="309" spans="8:55" ht="25" customHeight="1" x14ac:dyDescent="0.35">
      <c r="H309" s="245"/>
      <c r="I309" s="245"/>
      <c r="J309" s="245"/>
      <c r="K309" s="245"/>
      <c r="L309" s="205"/>
      <c r="M309" s="206"/>
      <c r="N309" s="206"/>
      <c r="O309" s="206"/>
      <c r="P309" s="107"/>
      <c r="Q309" s="107"/>
      <c r="R309" s="107"/>
      <c r="S309" s="107"/>
      <c r="T309" s="107"/>
      <c r="U309" s="107"/>
      <c r="V309" s="107"/>
      <c r="W309" s="107"/>
      <c r="X309" s="107"/>
      <c r="Y309" s="107"/>
      <c r="Z309" s="107"/>
      <c r="AA309" s="107"/>
      <c r="AB309" s="107"/>
      <c r="AC309" s="107"/>
      <c r="AD309" s="107"/>
      <c r="AE309" s="107"/>
      <c r="AF309" s="107"/>
      <c r="AG309" s="107"/>
      <c r="AH309" s="107"/>
      <c r="AI309" s="107"/>
      <c r="AJ309" s="107"/>
      <c r="AK309" s="107"/>
      <c r="AL309" s="107"/>
      <c r="AM309" s="107"/>
      <c r="AN309" s="107"/>
      <c r="AO309" s="107"/>
      <c r="AP309" s="107"/>
      <c r="AQ309" s="107"/>
      <c r="AR309" s="107"/>
      <c r="AS309" s="107"/>
      <c r="AT309" s="107"/>
      <c r="AU309" s="107"/>
      <c r="AV309" s="107"/>
      <c r="AW309" s="107"/>
      <c r="AX309" s="107"/>
      <c r="AY309" s="107"/>
      <c r="AZ309" s="107"/>
      <c r="BA309" s="107"/>
      <c r="BB309" s="107"/>
      <c r="BC309" s="107"/>
    </row>
    <row r="310" spans="8:55" ht="25" customHeight="1" x14ac:dyDescent="0.35">
      <c r="H310" s="245"/>
      <c r="I310" s="245"/>
      <c r="J310" s="245"/>
      <c r="K310" s="245"/>
      <c r="L310" s="205"/>
      <c r="M310" s="207"/>
      <c r="N310" s="207"/>
      <c r="O310" s="207"/>
      <c r="P310" s="107"/>
      <c r="Q310" s="107"/>
      <c r="R310" s="107"/>
      <c r="S310" s="107"/>
      <c r="T310" s="107"/>
      <c r="U310" s="107"/>
      <c r="V310" s="107"/>
      <c r="W310" s="107"/>
      <c r="X310" s="107"/>
      <c r="Y310" s="107"/>
      <c r="Z310" s="107"/>
      <c r="AA310" s="107"/>
      <c r="AB310" s="107"/>
      <c r="AC310" s="107"/>
      <c r="AD310" s="107"/>
      <c r="AE310" s="107"/>
      <c r="AF310" s="107"/>
      <c r="AG310" s="107"/>
      <c r="AH310" s="107"/>
      <c r="AI310" s="107"/>
      <c r="AJ310" s="107"/>
      <c r="AK310" s="107"/>
      <c r="AL310" s="107"/>
      <c r="AM310" s="107"/>
      <c r="AN310" s="107"/>
      <c r="AO310" s="107"/>
      <c r="AP310" s="107"/>
      <c r="AQ310" s="107"/>
      <c r="AR310" s="107"/>
      <c r="AS310" s="107"/>
      <c r="AT310" s="107"/>
      <c r="AU310" s="107"/>
      <c r="AV310" s="107"/>
      <c r="AW310" s="107"/>
      <c r="AX310" s="107"/>
      <c r="AY310" s="107"/>
      <c r="AZ310" s="107"/>
      <c r="BA310" s="107"/>
      <c r="BB310" s="107"/>
      <c r="BC310" s="107"/>
    </row>
    <row r="311" spans="8:55" ht="25" customHeight="1" x14ac:dyDescent="0.35">
      <c r="H311" s="245"/>
      <c r="I311" s="245"/>
      <c r="J311" s="245"/>
      <c r="K311" s="245"/>
      <c r="L311" s="205"/>
      <c r="M311" s="208"/>
      <c r="N311" s="208"/>
      <c r="O311" s="208"/>
      <c r="P311" s="107"/>
      <c r="Q311" s="107"/>
      <c r="R311" s="107"/>
      <c r="S311" s="107"/>
      <c r="T311" s="107"/>
      <c r="U311" s="107"/>
      <c r="V311" s="107"/>
      <c r="W311" s="107"/>
      <c r="X311" s="107"/>
      <c r="Y311" s="107"/>
      <c r="Z311" s="107"/>
      <c r="AA311" s="107"/>
      <c r="AB311" s="107"/>
      <c r="AC311" s="107"/>
      <c r="AD311" s="107"/>
      <c r="AE311" s="107"/>
      <c r="AF311" s="107"/>
      <c r="AG311" s="107"/>
      <c r="AH311" s="107"/>
      <c r="AI311" s="107"/>
      <c r="AJ311" s="107"/>
      <c r="AK311" s="107"/>
      <c r="AL311" s="107"/>
      <c r="AM311" s="107"/>
      <c r="AN311" s="107"/>
      <c r="AO311" s="107"/>
      <c r="AP311" s="107"/>
      <c r="AQ311" s="107"/>
      <c r="AR311" s="107"/>
      <c r="AS311" s="107"/>
      <c r="AT311" s="107"/>
      <c r="AU311" s="107"/>
      <c r="AV311" s="107"/>
      <c r="AW311" s="107"/>
      <c r="AX311" s="107"/>
      <c r="AY311" s="107"/>
      <c r="AZ311" s="107"/>
      <c r="BA311" s="107"/>
      <c r="BB311" s="107"/>
      <c r="BC311" s="107"/>
    </row>
    <row r="312" spans="8:55" ht="25" customHeight="1" x14ac:dyDescent="0.35">
      <c r="H312" s="245"/>
      <c r="I312" s="245"/>
      <c r="J312" s="245"/>
      <c r="K312" s="245"/>
      <c r="L312" s="205"/>
      <c r="M312" s="207"/>
      <c r="N312" s="207"/>
      <c r="O312" s="207"/>
      <c r="P312" s="107"/>
      <c r="Q312" s="107"/>
      <c r="R312" s="107"/>
      <c r="S312" s="107"/>
      <c r="T312" s="107"/>
      <c r="U312" s="107"/>
      <c r="V312" s="107"/>
      <c r="W312" s="107"/>
      <c r="X312" s="107"/>
      <c r="Y312" s="107"/>
      <c r="Z312" s="107"/>
      <c r="AA312" s="107"/>
      <c r="AB312" s="107"/>
      <c r="AC312" s="107"/>
      <c r="AD312" s="107"/>
      <c r="AE312" s="107"/>
      <c r="AF312" s="107"/>
      <c r="AG312" s="107"/>
      <c r="AH312" s="107"/>
      <c r="AI312" s="107"/>
      <c r="AJ312" s="107"/>
      <c r="AK312" s="107"/>
      <c r="AL312" s="107"/>
      <c r="AM312" s="107"/>
      <c r="AN312" s="107"/>
      <c r="AO312" s="107"/>
      <c r="AP312" s="107"/>
      <c r="AQ312" s="107"/>
      <c r="AR312" s="107"/>
      <c r="AS312" s="107"/>
      <c r="AT312" s="107"/>
      <c r="AU312" s="107"/>
      <c r="AV312" s="107"/>
      <c r="AW312" s="107"/>
      <c r="AX312" s="107"/>
      <c r="AY312" s="107"/>
      <c r="AZ312" s="107"/>
      <c r="BA312" s="107"/>
    </row>
    <row r="313" spans="8:55" ht="25" customHeight="1" x14ac:dyDescent="0.35">
      <c r="H313" s="245"/>
      <c r="I313" s="245"/>
      <c r="J313" s="245"/>
      <c r="K313" s="245"/>
      <c r="L313" s="205"/>
      <c r="M313" s="207"/>
      <c r="N313" s="207"/>
      <c r="O313" s="207"/>
      <c r="P313" s="107"/>
      <c r="Q313" s="107"/>
      <c r="R313" s="107"/>
      <c r="S313" s="107"/>
      <c r="T313" s="107"/>
      <c r="U313" s="107"/>
      <c r="V313" s="107"/>
      <c r="W313" s="107"/>
      <c r="X313" s="107"/>
      <c r="Y313" s="107"/>
      <c r="Z313" s="107"/>
    </row>
    <row r="314" spans="8:55" ht="25" customHeight="1" x14ac:dyDescent="0.35">
      <c r="H314" s="245"/>
      <c r="I314" s="245"/>
      <c r="J314" s="245"/>
      <c r="K314" s="245"/>
      <c r="L314" s="205"/>
      <c r="M314" s="205"/>
      <c r="N314" s="205"/>
      <c r="O314" s="205"/>
      <c r="P314" s="107"/>
      <c r="Q314" s="107"/>
      <c r="R314" s="107"/>
      <c r="S314" s="107"/>
      <c r="T314" s="107"/>
      <c r="U314" s="107"/>
      <c r="V314" s="107"/>
      <c r="W314" s="107"/>
      <c r="X314" s="107"/>
      <c r="Y314" s="107"/>
      <c r="Z314" s="107"/>
    </row>
    <row r="315" spans="8:55" ht="25" customHeight="1" x14ac:dyDescent="0.35">
      <c r="H315" s="245"/>
      <c r="I315" s="245"/>
      <c r="J315" s="245"/>
      <c r="K315" s="245"/>
      <c r="L315" s="245"/>
      <c r="M315" s="179"/>
      <c r="N315" s="179"/>
      <c r="O315" s="179"/>
      <c r="P315" s="107"/>
      <c r="Q315" s="107"/>
      <c r="R315" s="107"/>
      <c r="S315" s="107"/>
      <c r="T315" s="107"/>
      <c r="U315" s="107"/>
      <c r="V315" s="107"/>
      <c r="W315" s="107"/>
      <c r="X315" s="107"/>
      <c r="Y315" s="107"/>
      <c r="Z315" s="107"/>
    </row>
    <row r="316" spans="8:55" ht="25" customHeight="1" x14ac:dyDescent="0.35">
      <c r="H316" s="245"/>
      <c r="I316" s="245"/>
      <c r="J316" s="245"/>
      <c r="K316" s="245"/>
      <c r="L316" s="245"/>
      <c r="M316" s="178"/>
      <c r="N316" s="178"/>
      <c r="O316" s="178"/>
      <c r="P316" s="107"/>
      <c r="Q316" s="107"/>
      <c r="R316" s="107"/>
      <c r="S316" s="107"/>
      <c r="T316" s="107"/>
      <c r="U316" s="107"/>
      <c r="V316" s="107"/>
      <c r="W316" s="107"/>
      <c r="X316" s="107"/>
      <c r="Y316" s="107"/>
      <c r="Z316" s="107"/>
    </row>
    <row r="317" spans="8:55" ht="25" customHeight="1" x14ac:dyDescent="0.35">
      <c r="H317" s="245"/>
      <c r="I317" s="245"/>
      <c r="J317" s="245"/>
      <c r="K317" s="245"/>
      <c r="L317" s="245"/>
      <c r="M317" s="178"/>
      <c r="P317" s="107"/>
      <c r="Q317" s="107"/>
      <c r="R317" s="107"/>
      <c r="S317" s="107"/>
      <c r="T317" s="107"/>
      <c r="U317" s="107"/>
      <c r="V317" s="107"/>
      <c r="W317" s="107"/>
      <c r="X317" s="107"/>
      <c r="Y317" s="107"/>
      <c r="Z317" s="107"/>
    </row>
    <row r="318" spans="8:55" ht="25" customHeight="1" x14ac:dyDescent="0.35">
      <c r="H318" s="245"/>
      <c r="I318" s="245"/>
      <c r="J318" s="245"/>
      <c r="K318" s="245"/>
      <c r="L318" s="245"/>
      <c r="M318" s="258"/>
      <c r="N318" s="258"/>
      <c r="O318" s="258"/>
      <c r="P318" s="107"/>
      <c r="Q318" s="107"/>
      <c r="R318" s="107"/>
      <c r="S318" s="107"/>
      <c r="T318" s="107"/>
      <c r="U318" s="107"/>
      <c r="V318" s="107"/>
      <c r="W318" s="107"/>
      <c r="X318" s="107"/>
      <c r="Y318" s="107"/>
      <c r="Z318" s="107"/>
    </row>
    <row r="319" spans="8:55" ht="25" customHeight="1" x14ac:dyDescent="0.35">
      <c r="H319" s="245"/>
      <c r="I319" s="245"/>
      <c r="J319" s="245"/>
      <c r="K319" s="245"/>
      <c r="L319" s="245"/>
      <c r="M319" s="259"/>
      <c r="P319" s="107"/>
      <c r="Q319" s="107"/>
      <c r="R319" s="107"/>
      <c r="S319" s="107"/>
      <c r="T319" s="107"/>
      <c r="U319" s="107"/>
      <c r="V319" s="107"/>
      <c r="W319" s="107"/>
      <c r="X319" s="107"/>
      <c r="Y319" s="107"/>
      <c r="Z319" s="107"/>
    </row>
    <row r="320" spans="8:55" ht="25" customHeight="1" x14ac:dyDescent="0.35">
      <c r="H320" s="245"/>
      <c r="I320" s="245"/>
      <c r="J320" s="245"/>
      <c r="K320" s="245"/>
      <c r="L320" s="245"/>
      <c r="P320" s="107"/>
      <c r="Q320" s="107"/>
      <c r="R320" s="107"/>
      <c r="S320" s="107"/>
      <c r="T320" s="107"/>
      <c r="U320" s="107"/>
      <c r="V320" s="107"/>
      <c r="W320" s="107"/>
      <c r="X320" s="107"/>
      <c r="Y320" s="107"/>
      <c r="Z320" s="107"/>
    </row>
    <row r="321" spans="1:26" ht="25" customHeight="1" x14ac:dyDescent="0.35">
      <c r="H321" s="245"/>
      <c r="I321" s="245"/>
      <c r="J321" s="245"/>
      <c r="K321" s="245"/>
      <c r="L321" s="245"/>
      <c r="M321" s="178"/>
      <c r="P321" s="107"/>
      <c r="Q321" s="107"/>
      <c r="R321" s="107"/>
      <c r="S321" s="107"/>
      <c r="T321" s="107"/>
      <c r="U321" s="107"/>
      <c r="V321" s="107"/>
      <c r="W321" s="107"/>
      <c r="X321" s="107"/>
      <c r="Y321" s="107"/>
      <c r="Z321" s="107"/>
    </row>
    <row r="322" spans="1:26" ht="25" customHeight="1" x14ac:dyDescent="0.35">
      <c r="H322" s="245"/>
      <c r="I322" s="245"/>
      <c r="J322" s="245"/>
      <c r="K322" s="245"/>
      <c r="L322" s="245"/>
      <c r="P322" s="107"/>
      <c r="Q322" s="107"/>
      <c r="R322" s="107"/>
      <c r="S322" s="107"/>
      <c r="T322" s="107"/>
      <c r="U322" s="107"/>
      <c r="V322" s="107"/>
      <c r="W322" s="107"/>
      <c r="X322" s="107"/>
      <c r="Y322" s="107"/>
      <c r="Z322" s="107"/>
    </row>
    <row r="323" spans="1:26" ht="25" customHeight="1" x14ac:dyDescent="0.35">
      <c r="H323" s="245"/>
      <c r="I323" s="245"/>
      <c r="J323" s="245"/>
      <c r="K323" s="245"/>
      <c r="L323" s="245"/>
      <c r="P323" s="107"/>
      <c r="Q323" s="107"/>
      <c r="R323" s="107"/>
      <c r="S323" s="107"/>
      <c r="T323" s="107"/>
      <c r="U323" s="107"/>
      <c r="V323" s="107"/>
      <c r="W323" s="107"/>
      <c r="X323" s="107"/>
      <c r="Y323" s="107"/>
      <c r="Z323" s="107"/>
    </row>
    <row r="324" spans="1:26" ht="25" customHeight="1" x14ac:dyDescent="0.35">
      <c r="H324" s="245"/>
      <c r="I324" s="245"/>
      <c r="J324" s="245"/>
      <c r="K324" s="245"/>
      <c r="L324" s="245"/>
      <c r="P324" s="107"/>
      <c r="Q324" s="107"/>
      <c r="R324" s="107"/>
      <c r="S324" s="107"/>
      <c r="T324" s="107"/>
      <c r="U324" s="107"/>
      <c r="V324" s="107"/>
      <c r="W324" s="107"/>
      <c r="X324" s="107"/>
      <c r="Y324" s="107"/>
      <c r="Z324" s="107"/>
    </row>
    <row r="325" spans="1:26" ht="25" customHeight="1" x14ac:dyDescent="0.35">
      <c r="L325" s="245"/>
      <c r="P325" s="107"/>
      <c r="Q325" s="107"/>
      <c r="R325" s="107"/>
      <c r="S325" s="107"/>
      <c r="T325" s="107"/>
      <c r="U325" s="107"/>
      <c r="V325" s="107"/>
      <c r="W325" s="107"/>
      <c r="X325" s="107"/>
      <c r="Y325" s="107"/>
      <c r="Z325" s="107"/>
    </row>
    <row r="326" spans="1:26" ht="25" customHeight="1" x14ac:dyDescent="0.35">
      <c r="A326" s="247"/>
      <c r="B326" s="247"/>
      <c r="C326" s="247"/>
      <c r="D326" s="247"/>
      <c r="E326" s="247"/>
      <c r="F326" s="247"/>
      <c r="G326" s="247"/>
      <c r="H326" s="224"/>
      <c r="I326" s="224"/>
      <c r="J326" s="224"/>
      <c r="K326" s="224"/>
      <c r="L326" s="245"/>
    </row>
    <row r="327" spans="1:26" ht="25" customHeight="1" x14ac:dyDescent="0.35">
      <c r="H327" s="178"/>
      <c r="I327" s="246"/>
      <c r="J327" s="246"/>
      <c r="K327" s="246"/>
      <c r="L327" s="245"/>
    </row>
    <row r="328" spans="1:26" ht="25" customHeight="1" x14ac:dyDescent="0.35">
      <c r="I328" s="246"/>
      <c r="J328" s="246"/>
      <c r="K328" s="246"/>
      <c r="L328" s="245"/>
      <c r="M328" s="260"/>
      <c r="N328" s="179"/>
      <c r="O328" s="179"/>
      <c r="P328" s="179"/>
      <c r="Q328" s="179"/>
      <c r="R328" s="179"/>
      <c r="S328" s="179"/>
      <c r="T328" s="179"/>
      <c r="U328" s="179"/>
      <c r="V328" s="179"/>
      <c r="W328" s="179"/>
      <c r="X328" s="179"/>
      <c r="Y328" s="179"/>
    </row>
    <row r="329" spans="1:26" ht="25" customHeight="1" x14ac:dyDescent="0.35">
      <c r="A329" s="219"/>
      <c r="B329" s="219"/>
      <c r="C329" s="219"/>
      <c r="D329" s="219"/>
      <c r="E329" s="219"/>
      <c r="F329" s="219"/>
      <c r="G329" s="219"/>
      <c r="H329" s="220"/>
      <c r="I329" s="220"/>
      <c r="J329" s="220"/>
      <c r="K329" s="220"/>
      <c r="L329" s="245"/>
      <c r="M329" s="187"/>
    </row>
    <row r="330" spans="1:26" ht="25" customHeight="1" x14ac:dyDescent="0.35">
      <c r="A330" s="219"/>
      <c r="B330" s="219"/>
      <c r="C330" s="219"/>
      <c r="D330" s="219"/>
      <c r="E330" s="219"/>
      <c r="F330" s="219"/>
      <c r="G330" s="219"/>
      <c r="H330" s="220"/>
      <c r="I330" s="220"/>
      <c r="J330" s="220"/>
      <c r="K330" s="220"/>
      <c r="L330" s="245"/>
      <c r="M330" s="261"/>
    </row>
    <row r="331" spans="1:26" ht="25" customHeight="1" x14ac:dyDescent="0.35">
      <c r="A331" s="219"/>
      <c r="B331" s="219"/>
      <c r="C331" s="219"/>
      <c r="D331" s="219"/>
      <c r="E331" s="219"/>
      <c r="F331" s="219"/>
      <c r="G331" s="219"/>
      <c r="H331" s="220"/>
      <c r="I331" s="220"/>
      <c r="J331" s="220"/>
      <c r="K331" s="220"/>
      <c r="L331" s="245"/>
      <c r="M331" s="260"/>
      <c r="N331" s="260"/>
      <c r="O331" s="260"/>
      <c r="P331" s="260"/>
      <c r="Q331" s="260"/>
      <c r="R331" s="260"/>
      <c r="S331" s="260"/>
      <c r="T331" s="260"/>
      <c r="U331" s="260"/>
      <c r="V331" s="260"/>
      <c r="W331" s="260"/>
      <c r="X331" s="260"/>
      <c r="Y331" s="260"/>
    </row>
    <row r="332" spans="1:26" ht="25" customHeight="1" x14ac:dyDescent="0.35">
      <c r="A332" s="248"/>
      <c r="B332" s="248"/>
      <c r="C332" s="248"/>
      <c r="D332" s="248"/>
      <c r="E332" s="248"/>
      <c r="F332" s="248"/>
      <c r="G332" s="248"/>
      <c r="H332" s="262"/>
      <c r="I332" s="262"/>
      <c r="J332" s="262"/>
      <c r="K332" s="262"/>
      <c r="L332" s="245"/>
      <c r="M332" s="260"/>
    </row>
    <row r="333" spans="1:26" ht="25" customHeight="1" x14ac:dyDescent="0.35">
      <c r="A333" s="219"/>
      <c r="B333" s="219"/>
      <c r="C333" s="219"/>
      <c r="D333" s="219"/>
      <c r="E333" s="219"/>
      <c r="F333" s="219"/>
      <c r="G333" s="219"/>
      <c r="H333" s="220"/>
      <c r="I333" s="220"/>
      <c r="J333" s="220"/>
      <c r="K333" s="220"/>
      <c r="L333" s="245"/>
    </row>
    <row r="334" spans="1:26" ht="25" customHeight="1" x14ac:dyDescent="0.35">
      <c r="I334" s="246"/>
      <c r="J334" s="246"/>
      <c r="K334" s="246"/>
      <c r="M334" s="178"/>
    </row>
    <row r="335" spans="1:26" ht="25" customHeight="1" x14ac:dyDescent="0.35">
      <c r="A335" s="219"/>
      <c r="B335" s="219"/>
      <c r="C335" s="219"/>
      <c r="D335" s="219"/>
      <c r="E335" s="219"/>
      <c r="F335" s="219"/>
      <c r="G335" s="219"/>
      <c r="H335" s="220"/>
      <c r="I335" s="220"/>
      <c r="J335" s="224"/>
      <c r="K335" s="220"/>
      <c r="L335" s="224"/>
    </row>
    <row r="336" spans="1:26" ht="25" customHeight="1" x14ac:dyDescent="0.35">
      <c r="A336" s="263"/>
      <c r="B336" s="263"/>
      <c r="C336" s="263"/>
      <c r="D336" s="263"/>
      <c r="E336" s="263"/>
      <c r="F336" s="263"/>
      <c r="G336" s="263"/>
      <c r="H336" s="264"/>
      <c r="I336" s="264"/>
      <c r="J336" s="224"/>
      <c r="K336" s="264"/>
      <c r="L336" s="246"/>
    </row>
    <row r="337" spans="1:12" ht="25" customHeight="1" x14ac:dyDescent="0.35">
      <c r="A337" s="263"/>
      <c r="B337" s="263"/>
      <c r="C337" s="263"/>
      <c r="D337" s="263"/>
      <c r="E337" s="263"/>
      <c r="F337" s="263"/>
      <c r="G337" s="263"/>
      <c r="H337" s="264"/>
      <c r="I337" s="264"/>
      <c r="J337" s="224"/>
      <c r="K337" s="264"/>
      <c r="L337" s="246"/>
    </row>
    <row r="338" spans="1:12" ht="25" customHeight="1" x14ac:dyDescent="0.35">
      <c r="A338" s="265"/>
      <c r="B338" s="265"/>
      <c r="C338" s="265"/>
      <c r="D338" s="265"/>
      <c r="E338" s="265"/>
      <c r="F338" s="265"/>
      <c r="G338" s="265"/>
      <c r="H338" s="264"/>
      <c r="I338" s="264"/>
      <c r="J338" s="224"/>
      <c r="K338" s="264"/>
      <c r="L338" s="224"/>
    </row>
    <row r="339" spans="1:12" ht="25" customHeight="1" x14ac:dyDescent="0.35">
      <c r="A339" s="265"/>
      <c r="B339" s="265"/>
      <c r="C339" s="265"/>
      <c r="D339" s="265"/>
      <c r="E339" s="265"/>
      <c r="F339" s="265"/>
      <c r="G339" s="265"/>
      <c r="H339" s="264"/>
      <c r="I339" s="264"/>
      <c r="J339" s="224"/>
      <c r="K339" s="264"/>
      <c r="L339" s="224"/>
    </row>
    <row r="340" spans="1:12" ht="25" customHeight="1" x14ac:dyDescent="0.35">
      <c r="A340" s="263"/>
      <c r="B340" s="263"/>
      <c r="C340" s="263"/>
      <c r="D340" s="263"/>
      <c r="E340" s="263"/>
      <c r="F340" s="263"/>
      <c r="G340" s="263"/>
      <c r="H340" s="264"/>
      <c r="I340" s="264"/>
      <c r="J340" s="224"/>
      <c r="K340" s="264"/>
      <c r="L340" s="224"/>
    </row>
    <row r="341" spans="1:12" ht="25" customHeight="1" x14ac:dyDescent="0.35">
      <c r="L341" s="262"/>
    </row>
    <row r="342" spans="1:12" ht="25" customHeight="1" x14ac:dyDescent="0.35">
      <c r="L342" s="224"/>
    </row>
    <row r="343" spans="1:12" ht="25" customHeight="1" x14ac:dyDescent="0.35">
      <c r="L343" s="246"/>
    </row>
    <row r="344" spans="1:12" ht="25" customHeight="1" x14ac:dyDescent="0.35">
      <c r="L344" s="220"/>
    </row>
    <row r="345" spans="1:12" ht="25" customHeight="1" x14ac:dyDescent="0.35">
      <c r="L345" s="264"/>
    </row>
    <row r="346" spans="1:12" ht="25" customHeight="1" x14ac:dyDescent="0.35">
      <c r="L346" s="264"/>
    </row>
    <row r="347" spans="1:12" ht="25" customHeight="1" x14ac:dyDescent="0.35">
      <c r="L347" s="264"/>
    </row>
    <row r="348" spans="1:12" ht="25" customHeight="1" x14ac:dyDescent="0.35">
      <c r="L348" s="264"/>
    </row>
    <row r="349" spans="1:12" ht="25" customHeight="1" x14ac:dyDescent="0.35">
      <c r="L349" s="264"/>
    </row>
    <row r="366" spans="1:11" ht="25" customHeight="1" x14ac:dyDescent="0.35">
      <c r="A366" s="266"/>
      <c r="B366" s="266"/>
      <c r="C366" s="266"/>
      <c r="D366" s="266"/>
      <c r="E366" s="266"/>
      <c r="F366" s="266"/>
      <c r="G366" s="266"/>
      <c r="H366" s="267"/>
      <c r="I366" s="267"/>
      <c r="J366" s="267"/>
      <c r="K366" s="267"/>
    </row>
    <row r="375" spans="12:12" ht="25" customHeight="1" x14ac:dyDescent="0.35">
      <c r="L375" s="267"/>
    </row>
    <row r="457" spans="1:25" ht="25" customHeight="1" x14ac:dyDescent="0.35">
      <c r="A457" s="268"/>
      <c r="B457" s="268"/>
      <c r="C457" s="268"/>
      <c r="D457" s="268"/>
      <c r="E457" s="268"/>
      <c r="F457" s="268"/>
      <c r="G457" s="268"/>
      <c r="H457" s="268"/>
      <c r="I457" s="268"/>
      <c r="J457" s="268"/>
      <c r="K457" s="268"/>
      <c r="L457" s="268"/>
      <c r="M457" s="268"/>
      <c r="N457" s="268"/>
      <c r="O457" s="268"/>
      <c r="P457" s="268"/>
      <c r="Q457" s="268"/>
      <c r="R457" s="268"/>
      <c r="S457" s="268"/>
      <c r="T457" s="268"/>
      <c r="U457" s="268"/>
      <c r="V457" s="268"/>
      <c r="W457" s="268"/>
      <c r="X457" s="268"/>
      <c r="Y457" s="268"/>
    </row>
    <row r="458" spans="1:25" ht="25" customHeight="1" x14ac:dyDescent="0.35">
      <c r="A458" s="269"/>
      <c r="B458" s="269"/>
      <c r="C458" s="269"/>
      <c r="D458" s="269"/>
      <c r="E458" s="269"/>
      <c r="F458" s="269"/>
      <c r="G458" s="269"/>
      <c r="H458" s="270"/>
      <c r="I458" s="270"/>
      <c r="J458" s="270"/>
      <c r="K458" s="270"/>
      <c r="L458" s="270"/>
      <c r="M458" s="270"/>
      <c r="N458" s="270"/>
      <c r="O458" s="270"/>
      <c r="P458" s="270"/>
      <c r="Q458" s="270"/>
      <c r="R458" s="270"/>
      <c r="S458" s="270"/>
      <c r="T458" s="270"/>
      <c r="U458" s="270"/>
      <c r="V458" s="270"/>
      <c r="W458" s="270"/>
      <c r="X458" s="270"/>
      <c r="Y458" s="270"/>
    </row>
    <row r="459" spans="1:25" ht="25" customHeight="1" x14ac:dyDescent="0.35">
      <c r="A459" s="269"/>
      <c r="B459" s="269"/>
      <c r="C459" s="269"/>
      <c r="D459" s="269"/>
      <c r="E459" s="269"/>
      <c r="F459" s="269"/>
      <c r="G459" s="269"/>
      <c r="H459" s="271"/>
      <c r="I459" s="271"/>
      <c r="J459" s="271"/>
      <c r="K459" s="271"/>
      <c r="L459" s="271"/>
      <c r="M459" s="271"/>
      <c r="N459" s="271"/>
      <c r="O459" s="271"/>
      <c r="P459" s="271"/>
      <c r="Q459" s="271"/>
      <c r="R459" s="271"/>
      <c r="S459" s="271"/>
      <c r="T459" s="271"/>
      <c r="U459" s="271"/>
      <c r="V459" s="271"/>
      <c r="W459" s="271"/>
      <c r="X459" s="271"/>
      <c r="Y459" s="271"/>
    </row>
    <row r="460" spans="1:25" ht="25" customHeight="1" x14ac:dyDescent="0.35">
      <c r="A460" s="269"/>
      <c r="B460" s="269"/>
      <c r="C460" s="269"/>
      <c r="D460" s="269"/>
      <c r="E460" s="269"/>
      <c r="F460" s="269"/>
      <c r="G460" s="269"/>
      <c r="H460" s="271"/>
      <c r="I460" s="271"/>
      <c r="J460" s="271"/>
      <c r="K460" s="271"/>
      <c r="L460" s="271"/>
      <c r="M460" s="271"/>
      <c r="N460" s="271"/>
      <c r="O460" s="271"/>
      <c r="P460" s="271"/>
      <c r="Q460" s="271"/>
      <c r="R460" s="271"/>
      <c r="S460" s="271"/>
      <c r="T460" s="271"/>
      <c r="U460" s="271"/>
      <c r="V460" s="271"/>
      <c r="W460" s="271"/>
      <c r="X460" s="271"/>
      <c r="Y460" s="271"/>
    </row>
  </sheetData>
  <mergeCells count="36">
    <mergeCell ref="AA61:AC64"/>
    <mergeCell ref="A107:H107"/>
    <mergeCell ref="A104:H104"/>
    <mergeCell ref="A106:H106"/>
    <mergeCell ref="I106:O106"/>
    <mergeCell ref="A105:H105"/>
    <mergeCell ref="I105:O105"/>
    <mergeCell ref="A96:O96"/>
    <mergeCell ref="A98:O98"/>
    <mergeCell ref="A100:O100"/>
    <mergeCell ref="A108:H108"/>
    <mergeCell ref="A109:H109"/>
    <mergeCell ref="A102:H102"/>
    <mergeCell ref="A103:H103"/>
    <mergeCell ref="A40:O40"/>
    <mergeCell ref="AA17:AB22"/>
    <mergeCell ref="AE4:AE5"/>
    <mergeCell ref="AA5:AB10"/>
    <mergeCell ref="A94:O94"/>
    <mergeCell ref="A52:H52"/>
    <mergeCell ref="AD53:AE58"/>
    <mergeCell ref="A63:O63"/>
    <mergeCell ref="AD52:AE52"/>
    <mergeCell ref="AD65:AE67"/>
    <mergeCell ref="AD68:AE71"/>
    <mergeCell ref="A73:O73"/>
    <mergeCell ref="A83:O83"/>
    <mergeCell ref="A53:O53"/>
    <mergeCell ref="A93:H93"/>
    <mergeCell ref="AA54:AB59"/>
    <mergeCell ref="I1:O1"/>
    <mergeCell ref="A16:O16"/>
    <mergeCell ref="A28:O28"/>
    <mergeCell ref="A4:O4"/>
    <mergeCell ref="B1:G1"/>
    <mergeCell ref="A3:H3"/>
  </mergeCells>
  <hyperlinks>
    <hyperlink ref="AB67" r:id="rId1" xr:uid="{32BE1829-E4BE-4F80-8CCC-BEBB68AC55A3}"/>
    <hyperlink ref="AB68" r:id="rId2" xr:uid="{AA38FF81-C816-4601-9B9F-183003A8CD56}"/>
    <hyperlink ref="AB69" r:id="rId3" xr:uid="{BE7B86E4-9313-449E-B917-62BD80D3A50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9349A-1C35-47A9-B189-28366957D240}">
  <dimension ref="B1:AB145"/>
  <sheetViews>
    <sheetView topLeftCell="A2" zoomScale="55" zoomScaleNormal="55" workbookViewId="0">
      <selection activeCell="I65" sqref="I65"/>
    </sheetView>
  </sheetViews>
  <sheetFormatPr defaultRowHeight="14.5" x14ac:dyDescent="0.35"/>
  <cols>
    <col min="2" max="2" width="12.54296875" customWidth="1"/>
    <col min="3" max="3" width="35.81640625" bestFit="1" customWidth="1"/>
    <col min="4" max="5" width="17.453125" customWidth="1"/>
    <col min="6" max="6" width="21.54296875" customWidth="1"/>
    <col min="7" max="7" width="20" customWidth="1"/>
    <col min="8" max="11" width="17.453125" customWidth="1"/>
    <col min="12" max="12" width="14.7265625" bestFit="1" customWidth="1"/>
    <col min="13" max="13" width="15.26953125" bestFit="1" customWidth="1"/>
    <col min="15" max="15" width="14.7265625" bestFit="1" customWidth="1"/>
  </cols>
  <sheetData>
    <row r="1" spans="2:19" ht="28.5" customHeight="1" x14ac:dyDescent="0.35"/>
    <row r="2" spans="2:19" ht="28.5" customHeight="1" x14ac:dyDescent="0.35"/>
    <row r="3" spans="2:19" ht="21" customHeight="1" x14ac:dyDescent="0.35">
      <c r="B3" s="416" t="s">
        <v>547</v>
      </c>
      <c r="C3" s="411" t="s">
        <v>25</v>
      </c>
      <c r="D3" s="338">
        <v>0</v>
      </c>
      <c r="E3" s="323">
        <v>1</v>
      </c>
      <c r="F3" s="323">
        <v>2</v>
      </c>
      <c r="G3" s="323">
        <v>3</v>
      </c>
      <c r="H3" s="323">
        <v>4</v>
      </c>
      <c r="I3" s="323">
        <v>5</v>
      </c>
      <c r="J3" s="323">
        <v>6</v>
      </c>
      <c r="K3" s="322">
        <v>7</v>
      </c>
    </row>
    <row r="4" spans="2:19" ht="21" customHeight="1" x14ac:dyDescent="0.35">
      <c r="B4" s="417"/>
      <c r="C4" s="412"/>
      <c r="D4" s="339">
        <v>2024</v>
      </c>
      <c r="E4" s="325">
        <f>'NPV Modelling'!I2</f>
        <v>2025</v>
      </c>
      <c r="F4" s="325">
        <f>'NPV Modelling'!J2</f>
        <v>2026</v>
      </c>
      <c r="G4" s="325">
        <f>'NPV Modelling'!K2</f>
        <v>2027</v>
      </c>
      <c r="H4" s="325">
        <f>'NPV Modelling'!L2</f>
        <v>2028</v>
      </c>
      <c r="I4" s="325">
        <f>'NPV Modelling'!M2</f>
        <v>2029</v>
      </c>
      <c r="J4" s="325">
        <f>'NPV Modelling'!N2</f>
        <v>2030</v>
      </c>
      <c r="K4" s="324">
        <f>'NPV Modelling'!O2</f>
        <v>2031</v>
      </c>
    </row>
    <row r="5" spans="2:19" s="332" customFormat="1" ht="21" customHeight="1" x14ac:dyDescent="0.3">
      <c r="B5" s="406" t="s">
        <v>22</v>
      </c>
      <c r="C5" s="326" t="s">
        <v>271</v>
      </c>
      <c r="D5" s="340">
        <v>0</v>
      </c>
      <c r="E5" s="327">
        <f>'NPV Modelling'!I3</f>
        <v>2052522297.2222204</v>
      </c>
      <c r="F5" s="327">
        <f>'NPV Modelling'!J3</f>
        <v>2135875199.0548151</v>
      </c>
      <c r="G5" s="327">
        <f>'NPV Modelling'!K3</f>
        <v>2224854605.3347411</v>
      </c>
      <c r="H5" s="327">
        <f>'NPV Modelling'!L3</f>
        <v>2269448102.5150213</v>
      </c>
      <c r="I5" s="327">
        <f>'NPV Modelling'!M3</f>
        <v>2322530428.3894358</v>
      </c>
      <c r="J5" s="327">
        <f>'NPV Modelling'!N3</f>
        <v>2385408908.1817966</v>
      </c>
      <c r="K5" s="341">
        <f>'NPV Modelling'!O3</f>
        <v>2459760271.2154751</v>
      </c>
    </row>
    <row r="6" spans="2:19" s="332" customFormat="1" ht="21" customHeight="1" x14ac:dyDescent="0.3">
      <c r="B6" s="406"/>
      <c r="C6" s="326" t="s">
        <v>13</v>
      </c>
      <c r="D6" s="340">
        <v>0</v>
      </c>
      <c r="E6" s="327">
        <f>'NPV Modelling'!I52</f>
        <v>998296782.45555472</v>
      </c>
      <c r="F6" s="327">
        <f>'NPV Modelling'!J52</f>
        <v>1003174518.6601636</v>
      </c>
      <c r="G6" s="327">
        <f>'NPV Modelling'!K52</f>
        <v>988846191.99503565</v>
      </c>
      <c r="H6" s="327">
        <f>'NPV Modelling'!L52</f>
        <v>1059614003.6662847</v>
      </c>
      <c r="I6" s="327">
        <f>'NPV Modelling'!M52</f>
        <v>1139624363.9279501</v>
      </c>
      <c r="J6" s="327">
        <f>'NPV Modelling'!N52</f>
        <v>1230554173.7786045</v>
      </c>
      <c r="K6" s="341">
        <f>'NPV Modelling'!O52</f>
        <v>1334517289.8273978</v>
      </c>
    </row>
    <row r="7" spans="2:19" s="332" customFormat="1" ht="21" customHeight="1" x14ac:dyDescent="0.3">
      <c r="B7" s="406"/>
      <c r="C7" s="326" t="s">
        <v>272</v>
      </c>
      <c r="D7" s="340">
        <v>0</v>
      </c>
      <c r="E7" s="327">
        <f>'NPV Modelling'!I93</f>
        <v>513130574.30555511</v>
      </c>
      <c r="F7" s="327">
        <f>'NPV Modelling'!J93</f>
        <v>533968799.76370376</v>
      </c>
      <c r="G7" s="327">
        <f>'NPV Modelling'!K93</f>
        <v>556213651.33368528</v>
      </c>
      <c r="H7" s="327">
        <f>'NPV Modelling'!L93</f>
        <v>567362025.62875533</v>
      </c>
      <c r="I7" s="327">
        <f>'NPV Modelling'!M93</f>
        <v>580632607.09735894</v>
      </c>
      <c r="J7" s="327">
        <f>'NPV Modelling'!N93</f>
        <v>596352227.04544914</v>
      </c>
      <c r="K7" s="341">
        <f>'NPV Modelling'!O93</f>
        <v>614940067.80386877</v>
      </c>
    </row>
    <row r="8" spans="2:19" s="332" customFormat="1" ht="21" customHeight="1" x14ac:dyDescent="0.3">
      <c r="B8" s="406"/>
      <c r="C8" s="326" t="s">
        <v>273</v>
      </c>
      <c r="D8" s="340">
        <v>0</v>
      </c>
      <c r="E8" s="327">
        <f>'NPV Modelling'!I102</f>
        <v>6157566.891666661</v>
      </c>
      <c r="F8" s="327">
        <f>'NPV Modelling'!J102</f>
        <v>6407625.5971644456</v>
      </c>
      <c r="G8" s="327">
        <f>'NPV Modelling'!K102</f>
        <v>6674563.8160042232</v>
      </c>
      <c r="H8" s="327">
        <f>'NPV Modelling'!L102</f>
        <v>6808344.307545064</v>
      </c>
      <c r="I8" s="327">
        <f>'NPV Modelling'!M102</f>
        <v>6967591.2851683078</v>
      </c>
      <c r="J8" s="327">
        <f>'NPV Modelling'!N102</f>
        <v>7156226.7245453894</v>
      </c>
      <c r="K8" s="341">
        <f>'NPV Modelling'!O102</f>
        <v>7379280.8136464255</v>
      </c>
      <c r="O8" s="333">
        <f>10%*(E5-E7)</f>
        <v>153939172.29166654</v>
      </c>
    </row>
    <row r="9" spans="2:19" s="332" customFormat="1" ht="21" customHeight="1" x14ac:dyDescent="0.3">
      <c r="B9" s="406"/>
      <c r="C9" s="326" t="s">
        <v>274</v>
      </c>
      <c r="D9" s="340">
        <v>0</v>
      </c>
      <c r="E9" s="327">
        <f>'NPV Modelling'!I108</f>
        <v>153939172.29166654</v>
      </c>
      <c r="F9" s="327">
        <f>'NPV Modelling'!J108</f>
        <v>160190639.92911112</v>
      </c>
      <c r="G9" s="327">
        <f>'NPV Modelling'!K108</f>
        <v>166864095.4001056</v>
      </c>
      <c r="H9" s="327">
        <f>'NPV Modelling'!L108</f>
        <v>170208607.68862662</v>
      </c>
      <c r="I9" s="327">
        <f>'NPV Modelling'!M108</f>
        <v>174189782.1292077</v>
      </c>
      <c r="J9" s="327">
        <f>'NPV Modelling'!N108</f>
        <v>178905668.11363474</v>
      </c>
      <c r="K9" s="341">
        <f>'NPV Modelling'!O108</f>
        <v>184482020.34116066</v>
      </c>
    </row>
    <row r="10" spans="2:19" s="332" customFormat="1" ht="21" customHeight="1" x14ac:dyDescent="0.3">
      <c r="B10" s="406"/>
      <c r="C10" s="326" t="s">
        <v>275</v>
      </c>
      <c r="D10" s="340">
        <v>0</v>
      </c>
      <c r="E10" s="327">
        <f>'NPV Modelling'!I109</f>
        <v>153939172.29166654</v>
      </c>
      <c r="F10" s="327">
        <f>'NPV Modelling'!J109</f>
        <v>160190639.92911112</v>
      </c>
      <c r="G10" s="327">
        <f>'NPV Modelling'!K109</f>
        <v>166864095.4001056</v>
      </c>
      <c r="H10" s="327">
        <f>'NPV Modelling'!L109</f>
        <v>170208607.68862662</v>
      </c>
      <c r="I10" s="327">
        <f>'NPV Modelling'!M109</f>
        <v>174189782.1292077</v>
      </c>
      <c r="J10" s="327">
        <f>'NPV Modelling'!N109</f>
        <v>178905668.11363474</v>
      </c>
      <c r="K10" s="341">
        <f>'NPV Modelling'!O109</f>
        <v>184482020.34116066</v>
      </c>
    </row>
    <row r="11" spans="2:19" s="332" customFormat="1" ht="21" customHeight="1" x14ac:dyDescent="0.3">
      <c r="B11" s="406"/>
      <c r="C11" s="326" t="s">
        <v>10</v>
      </c>
      <c r="D11" s="340">
        <v>0</v>
      </c>
      <c r="E11" s="327">
        <f>'PHP Requirement'!C8*'PHP Requirement'!C5+'PHP Requirement'!D8*'PHP Requirement'!D5+'PHP Requirement'!E8*'PHP Requirement'!E5+'PHP Requirement'!F8*'PHP Requirement'!F5</f>
        <v>26103008.749999985</v>
      </c>
      <c r="F11" s="327">
        <f>'NPV Modelling'!J104</f>
        <v>26860238.888888866</v>
      </c>
      <c r="G11" s="327">
        <f>'NPV Modelling'!K104</f>
        <v>26860238.888888866</v>
      </c>
      <c r="H11" s="327">
        <f>'NPV Modelling'!L104</f>
        <v>26860238.888888866</v>
      </c>
      <c r="I11" s="327">
        <f>'NPV Modelling'!M104</f>
        <v>26860238.888888866</v>
      </c>
      <c r="J11" s="327">
        <f>'NPV Modelling'!N104</f>
        <v>26860238.888888866</v>
      </c>
      <c r="K11" s="341">
        <f>'NPV Modelling'!O104</f>
        <v>26860238.888888866</v>
      </c>
      <c r="P11" s="332">
        <v>541340478.40818608</v>
      </c>
    </row>
    <row r="12" spans="2:19" s="332" customFormat="1" ht="21" customHeight="1" x14ac:dyDescent="0.3">
      <c r="B12" s="406"/>
      <c r="C12" s="326" t="s">
        <v>276</v>
      </c>
      <c r="D12" s="340">
        <v>0</v>
      </c>
      <c r="E12" s="327">
        <v>0</v>
      </c>
      <c r="F12" s="327">
        <f>'NPV Modelling'!J103</f>
        <v>15015252.231218735</v>
      </c>
      <c r="G12" s="327">
        <f>'NPV Modelling'!K103</f>
        <v>15015252.231218735</v>
      </c>
      <c r="H12" s="327">
        <f>'NPV Modelling'!L103</f>
        <v>15015252.231218735</v>
      </c>
      <c r="I12" s="327">
        <f>'NPV Modelling'!M103</f>
        <v>15015252.231218735</v>
      </c>
      <c r="J12" s="327">
        <f>'NPV Modelling'!N103</f>
        <v>15015252.231218735</v>
      </c>
      <c r="K12" s="341">
        <f>'NPV Modelling'!O103</f>
        <v>15015252.231218735</v>
      </c>
      <c r="M12" s="333">
        <f>Financing!G28*'PHP Requirement'!C2</f>
        <v>262887444.44444424</v>
      </c>
      <c r="O12" s="332" t="s">
        <v>279</v>
      </c>
      <c r="P12" s="334">
        <f>S28/100</f>
        <v>4.851670683324464E-2</v>
      </c>
      <c r="S12" s="332">
        <v>1</v>
      </c>
    </row>
    <row r="13" spans="2:19" s="332" customFormat="1" ht="21" customHeight="1" x14ac:dyDescent="0.3">
      <c r="B13" s="406"/>
      <c r="C13" s="326" t="s">
        <v>277</v>
      </c>
      <c r="D13" s="340">
        <v>0</v>
      </c>
      <c r="E13" s="327">
        <f>SUM(E6:E12)</f>
        <v>1851566276.9861095</v>
      </c>
      <c r="F13" s="327">
        <f>SUM(F6:F12)</f>
        <v>1905807714.9993615</v>
      </c>
      <c r="G13" s="327">
        <f t="shared" ref="G13:K13" si="0">SUM(G6:G12)</f>
        <v>1927338089.0650439</v>
      </c>
      <c r="H13" s="327">
        <f t="shared" si="0"/>
        <v>2016077080.0999458</v>
      </c>
      <c r="I13" s="327">
        <f t="shared" si="0"/>
        <v>2117479617.6890004</v>
      </c>
      <c r="J13" s="327">
        <f t="shared" si="0"/>
        <v>2233749454.8959765</v>
      </c>
      <c r="K13" s="341">
        <f t="shared" si="0"/>
        <v>2367676170.2473421</v>
      </c>
      <c r="M13" s="333">
        <f>Financing!G29*'PHP Requirement'!C2</f>
        <v>268602388.88888866</v>
      </c>
      <c r="O13" s="332" t="s">
        <v>281</v>
      </c>
      <c r="P13" s="334">
        <f>Financing!G14</f>
        <v>8.9685821025700663E-2</v>
      </c>
    </row>
    <row r="14" spans="2:19" s="332" customFormat="1" ht="21" customHeight="1" x14ac:dyDescent="0.3">
      <c r="B14" s="406"/>
      <c r="C14" s="326" t="s">
        <v>278</v>
      </c>
      <c r="D14" s="340">
        <v>0</v>
      </c>
      <c r="E14" s="327">
        <f t="shared" ref="E14:K14" si="1">E5-E13</f>
        <v>200956020.23611093</v>
      </c>
      <c r="F14" s="327">
        <f>F5-F13</f>
        <v>230067484.05545354</v>
      </c>
      <c r="G14" s="327">
        <f t="shared" si="1"/>
        <v>297516516.26969719</v>
      </c>
      <c r="H14" s="327">
        <f t="shared" si="1"/>
        <v>253371022.41507554</v>
      </c>
      <c r="I14" s="327">
        <f t="shared" si="1"/>
        <v>205050810.7004354</v>
      </c>
      <c r="J14" s="327">
        <f t="shared" si="1"/>
        <v>151659453.28582001</v>
      </c>
      <c r="K14" s="341">
        <f t="shared" si="1"/>
        <v>92084100.968132973</v>
      </c>
    </row>
    <row r="15" spans="2:19" s="332" customFormat="1" ht="21" customHeight="1" x14ac:dyDescent="0.3">
      <c r="B15" s="406"/>
      <c r="C15" s="326" t="s">
        <v>280</v>
      </c>
      <c r="D15" s="340">
        <v>0</v>
      </c>
      <c r="E15" s="327">
        <f t="shared" ref="E15:I15" si="2">E14*25%</f>
        <v>50239005.059027731</v>
      </c>
      <c r="F15" s="327">
        <f>F14*25%</f>
        <v>57516871.013863385</v>
      </c>
      <c r="G15" s="327">
        <f t="shared" si="2"/>
        <v>74379129.067424297</v>
      </c>
      <c r="H15" s="327">
        <f t="shared" si="2"/>
        <v>63342755.603768885</v>
      </c>
      <c r="I15" s="327">
        <f t="shared" si="2"/>
        <v>51262702.67510885</v>
      </c>
      <c r="J15" s="327">
        <f>J14*25%</f>
        <v>37914863.321455002</v>
      </c>
      <c r="K15" s="341">
        <f>K14*25%</f>
        <v>23021025.242033243</v>
      </c>
    </row>
    <row r="16" spans="2:19" s="332" customFormat="1" ht="21" customHeight="1" x14ac:dyDescent="0.3">
      <c r="B16" s="406"/>
      <c r="C16" s="328" t="s">
        <v>161</v>
      </c>
      <c r="D16" s="342">
        <v>0</v>
      </c>
      <c r="E16" s="329">
        <f>E14-E15</f>
        <v>150717015.17708319</v>
      </c>
      <c r="F16" s="329">
        <f t="shared" ref="F16:K16" si="3">F14-F15</f>
        <v>172550613.04159015</v>
      </c>
      <c r="G16" s="329">
        <f t="shared" si="3"/>
        <v>223137387.20227289</v>
      </c>
      <c r="H16" s="329">
        <f t="shared" si="3"/>
        <v>190028266.81130666</v>
      </c>
      <c r="I16" s="329">
        <f t="shared" si="3"/>
        <v>153788108.02532655</v>
      </c>
      <c r="J16" s="329">
        <f t="shared" si="3"/>
        <v>113744589.96436501</v>
      </c>
      <c r="K16" s="343">
        <f t="shared" si="3"/>
        <v>69063075.72609973</v>
      </c>
      <c r="O16" s="335">
        <f>K21*(1+P12)/(P13-P12)</f>
        <v>2329219007.6457572</v>
      </c>
    </row>
    <row r="17" spans="2:28" s="332" customFormat="1" ht="21" customHeight="1" x14ac:dyDescent="0.3">
      <c r="B17" s="406"/>
      <c r="C17" s="326" t="s">
        <v>282</v>
      </c>
      <c r="D17" s="340">
        <v>0</v>
      </c>
      <c r="E17" s="327">
        <v>0</v>
      </c>
      <c r="F17" s="327">
        <f>M12</f>
        <v>262887444.44444424</v>
      </c>
      <c r="G17" s="327">
        <f>6.01%*G5</f>
        <v>133713761.78061794</v>
      </c>
      <c r="H17" s="327">
        <f t="shared" ref="H17:K17" si="4">6.01%*H5</f>
        <v>136393830.96115279</v>
      </c>
      <c r="I17" s="327">
        <f t="shared" si="4"/>
        <v>139584078.74620509</v>
      </c>
      <c r="J17" s="327">
        <f t="shared" si="4"/>
        <v>143363075.38172597</v>
      </c>
      <c r="K17" s="341">
        <f t="shared" si="4"/>
        <v>147831592.30005005</v>
      </c>
    </row>
    <row r="18" spans="2:28" s="332" customFormat="1" ht="21" customHeight="1" x14ac:dyDescent="0.3">
      <c r="B18" s="406"/>
      <c r="C18" s="326" t="s">
        <v>164</v>
      </c>
      <c r="D18" s="340">
        <v>0</v>
      </c>
      <c r="E18" s="327">
        <f>D17-E17</f>
        <v>0</v>
      </c>
      <c r="F18" s="327">
        <f>E17-F17</f>
        <v>-262887444.44444424</v>
      </c>
      <c r="G18" s="327">
        <f t="shared" ref="G18:K18" si="5">F17-G17</f>
        <v>129173682.6638263</v>
      </c>
      <c r="H18" s="327">
        <f t="shared" si="5"/>
        <v>-2680069.1805348545</v>
      </c>
      <c r="I18" s="327">
        <f t="shared" si="5"/>
        <v>-3190247.7850522995</v>
      </c>
      <c r="J18" s="327">
        <f t="shared" si="5"/>
        <v>-3778996.6355208755</v>
      </c>
      <c r="K18" s="341">
        <f t="shared" si="5"/>
        <v>-4468516.9183240831</v>
      </c>
    </row>
    <row r="19" spans="2:28" s="332" customFormat="1" ht="21" customHeight="1" x14ac:dyDescent="0.3">
      <c r="B19" s="406"/>
      <c r="C19" s="326" t="s">
        <v>283</v>
      </c>
      <c r="D19" s="340">
        <f>D11</f>
        <v>0</v>
      </c>
      <c r="E19" s="327">
        <f>E11</f>
        <v>26103008.749999985</v>
      </c>
      <c r="F19" s="327">
        <f>F11</f>
        <v>26860238.888888866</v>
      </c>
      <c r="G19" s="327">
        <f t="shared" ref="G19:K19" si="6">G11</f>
        <v>26860238.888888866</v>
      </c>
      <c r="H19" s="327">
        <f t="shared" si="6"/>
        <v>26860238.888888866</v>
      </c>
      <c r="I19" s="327">
        <f t="shared" si="6"/>
        <v>26860238.888888866</v>
      </c>
      <c r="J19" s="327">
        <f t="shared" si="6"/>
        <v>26860238.888888866</v>
      </c>
      <c r="K19" s="341">
        <f t="shared" si="6"/>
        <v>26860238.888888866</v>
      </c>
      <c r="N19" s="332">
        <v>2010</v>
      </c>
      <c r="O19" s="332">
        <v>2011</v>
      </c>
      <c r="P19" s="332">
        <v>2012</v>
      </c>
      <c r="Q19" s="332">
        <v>2013</v>
      </c>
      <c r="R19" s="332">
        <v>2014</v>
      </c>
      <c r="S19" s="332">
        <v>2015</v>
      </c>
      <c r="T19" s="332">
        <v>2016</v>
      </c>
      <c r="U19" s="332">
        <v>2017</v>
      </c>
      <c r="V19" s="332">
        <v>2018</v>
      </c>
      <c r="W19" s="332">
        <v>2019</v>
      </c>
      <c r="X19" s="332">
        <v>2020</v>
      </c>
      <c r="Y19" s="332">
        <v>2021</v>
      </c>
      <c r="Z19" s="332">
        <v>2022</v>
      </c>
      <c r="AA19" s="332">
        <v>2023</v>
      </c>
      <c r="AB19" s="332">
        <v>2024</v>
      </c>
    </row>
    <row r="20" spans="2:28" s="332" customFormat="1" ht="21" customHeight="1" x14ac:dyDescent="0.3">
      <c r="B20" s="406"/>
      <c r="C20" s="326" t="s">
        <v>162</v>
      </c>
      <c r="D20" s="340">
        <v>0</v>
      </c>
      <c r="E20" s="327">
        <v>0</v>
      </c>
      <c r="F20" s="327">
        <f>-M13</f>
        <v>-268602388.88888866</v>
      </c>
      <c r="G20" s="327">
        <v>0</v>
      </c>
      <c r="H20" s="327">
        <v>0</v>
      </c>
      <c r="I20" s="327">
        <v>0</v>
      </c>
      <c r="J20" s="327">
        <v>0</v>
      </c>
      <c r="K20" s="341">
        <v>0</v>
      </c>
      <c r="M20" s="332" t="s">
        <v>546</v>
      </c>
      <c r="N20" s="332">
        <v>7.334499965144019</v>
      </c>
      <c r="O20" s="332">
        <v>3.8582328242075477</v>
      </c>
      <c r="P20" s="332">
        <v>6.8969517078676859</v>
      </c>
      <c r="Q20" s="332">
        <v>6.7505313039474544</v>
      </c>
      <c r="R20" s="332">
        <v>6.3479874802974052</v>
      </c>
      <c r="S20" s="332">
        <v>6.3483097153988552</v>
      </c>
      <c r="T20" s="332">
        <v>7.1494567528665556</v>
      </c>
      <c r="U20" s="332">
        <v>6.9309883252176547</v>
      </c>
      <c r="V20" s="332">
        <v>6.3414855709894624</v>
      </c>
      <c r="W20" s="332">
        <v>6.1185256611850463</v>
      </c>
      <c r="X20" s="332">
        <v>-9.5182947406493952</v>
      </c>
      <c r="Y20" s="332">
        <v>5.7147331342622465</v>
      </c>
      <c r="Z20" s="332">
        <v>7.5809821278556342</v>
      </c>
      <c r="AA20" s="332">
        <v>5.5458511708776683</v>
      </c>
      <c r="AB20" s="332">
        <v>6.2</v>
      </c>
    </row>
    <row r="21" spans="2:28" s="332" customFormat="1" ht="21" customHeight="1" x14ac:dyDescent="0.3">
      <c r="B21" s="406"/>
      <c r="C21" s="326" t="s">
        <v>284</v>
      </c>
      <c r="D21" s="340">
        <f>D17</f>
        <v>0</v>
      </c>
      <c r="E21" s="327">
        <f>E16+E19+E18+E20</f>
        <v>176820023.92708319</v>
      </c>
      <c r="F21" s="327">
        <f t="shared" ref="F21:K21" si="7">F16+F19+F18+F20</f>
        <v>-332078981.40285385</v>
      </c>
      <c r="G21" s="327">
        <f t="shared" si="7"/>
        <v>379171308.75498807</v>
      </c>
      <c r="H21" s="327">
        <f t="shared" si="7"/>
        <v>214208436.51966065</v>
      </c>
      <c r="I21" s="327">
        <f t="shared" si="7"/>
        <v>177458099.12916312</v>
      </c>
      <c r="J21" s="327">
        <f t="shared" si="7"/>
        <v>136825832.217733</v>
      </c>
      <c r="K21" s="341">
        <f t="shared" si="7"/>
        <v>91454797.696664512</v>
      </c>
      <c r="M21" s="332" t="s">
        <v>45</v>
      </c>
      <c r="N21" s="332">
        <v>3.7898363479759101</v>
      </c>
      <c r="O21" s="332">
        <v>4.7184170471842002</v>
      </c>
      <c r="P21" s="332">
        <v>3.02696391124796</v>
      </c>
      <c r="Q21" s="332">
        <v>2.5826876614179501</v>
      </c>
      <c r="R21" s="332">
        <v>3.5978234386421102</v>
      </c>
      <c r="S21" s="332">
        <v>0.67419253684540803</v>
      </c>
      <c r="T21" s="332">
        <v>1.25369880080982</v>
      </c>
      <c r="U21" s="332">
        <v>2.85318772590947</v>
      </c>
      <c r="V21" s="332">
        <v>5.3093466162770699</v>
      </c>
      <c r="W21" s="332">
        <v>2.39206534422404</v>
      </c>
      <c r="X21" s="332">
        <v>2.3931623931624002</v>
      </c>
      <c r="Y21" s="332">
        <v>3.92718022100332</v>
      </c>
      <c r="Z21" s="332">
        <v>5.8211581121395497</v>
      </c>
      <c r="AA21" s="332">
        <v>5.9780251554140902</v>
      </c>
      <c r="AB21" s="336">
        <v>3.3</v>
      </c>
    </row>
    <row r="22" spans="2:28" s="332" customFormat="1" ht="21" customHeight="1" x14ac:dyDescent="0.3">
      <c r="B22" s="406"/>
      <c r="C22" s="326" t="s">
        <v>169</v>
      </c>
      <c r="D22" s="340">
        <v>0</v>
      </c>
      <c r="E22" s="327">
        <v>0</v>
      </c>
      <c r="F22" s="327">
        <v>0</v>
      </c>
      <c r="G22" s="327">
        <v>0</v>
      </c>
      <c r="H22" s="327">
        <v>0</v>
      </c>
      <c r="I22" s="327">
        <v>0</v>
      </c>
      <c r="J22" s="327">
        <v>0</v>
      </c>
      <c r="K22" s="341">
        <f>K21*(1+P12)/(P13-P12)</f>
        <v>2329219007.6457572</v>
      </c>
      <c r="R22" s="332" t="s">
        <v>545</v>
      </c>
      <c r="S22" s="332">
        <f>AVERAGE(S23:S24)</f>
        <v>4.3739328770573715</v>
      </c>
    </row>
    <row r="23" spans="2:28" s="332" customFormat="1" ht="21" customHeight="1" x14ac:dyDescent="0.3">
      <c r="B23" s="406"/>
      <c r="C23" s="328" t="s">
        <v>166</v>
      </c>
      <c r="D23" s="342">
        <f>D21</f>
        <v>0</v>
      </c>
      <c r="E23" s="329">
        <f>E22+E21</f>
        <v>176820023.92708319</v>
      </c>
      <c r="F23" s="329">
        <f>F22+F21</f>
        <v>-332078981.40285385</v>
      </c>
      <c r="G23" s="329">
        <f t="shared" ref="G23:J23" si="8">G22+G21</f>
        <v>379171308.75498807</v>
      </c>
      <c r="H23" s="329">
        <f t="shared" si="8"/>
        <v>214208436.51966065</v>
      </c>
      <c r="I23" s="329">
        <f t="shared" si="8"/>
        <v>177458099.12916312</v>
      </c>
      <c r="J23" s="329">
        <f t="shared" si="8"/>
        <v>136825832.217733</v>
      </c>
      <c r="K23" s="343">
        <f>K22+K21</f>
        <v>2420673805.3424215</v>
      </c>
      <c r="R23" s="332" t="s">
        <v>545</v>
      </c>
      <c r="S23" s="332">
        <f>AVERAGE(N20:AB20)</f>
        <v>5.3066827332978566</v>
      </c>
    </row>
    <row r="24" spans="2:28" s="332" customFormat="1" ht="21" customHeight="1" x14ac:dyDescent="0.3">
      <c r="B24" s="407"/>
      <c r="C24" s="326" t="s">
        <v>21</v>
      </c>
      <c r="D24" s="344">
        <v>0</v>
      </c>
      <c r="E24" s="330">
        <v>58.208653592278068</v>
      </c>
      <c r="F24" s="330">
        <v>58.715725397297987</v>
      </c>
      <c r="G24" s="330">
        <v>59.285036190384766</v>
      </c>
      <c r="H24" s="330">
        <v>59.916758339966201</v>
      </c>
      <c r="I24" s="330">
        <v>60.61124092211643</v>
      </c>
      <c r="J24" s="330">
        <v>61.369003953951839</v>
      </c>
      <c r="K24" s="345">
        <v>62.190733657742236</v>
      </c>
      <c r="O24" s="332" t="s">
        <v>288</v>
      </c>
      <c r="R24" s="332" t="s">
        <v>45</v>
      </c>
      <c r="S24" s="332">
        <f>AVERAGE(N21:AB21)</f>
        <v>3.4411830208168861</v>
      </c>
      <c r="V24" s="332">
        <v>5.0999999999999996</v>
      </c>
    </row>
    <row r="25" spans="2:28" s="332" customFormat="1" ht="21" customHeight="1" x14ac:dyDescent="0.3">
      <c r="B25" s="405" t="s">
        <v>285</v>
      </c>
      <c r="C25" s="326" t="s">
        <v>166</v>
      </c>
      <c r="D25" s="340">
        <f>D23</f>
        <v>0</v>
      </c>
      <c r="E25" s="327">
        <f>E23/E24</f>
        <v>3037693.0750815384</v>
      </c>
      <c r="F25" s="327">
        <f>F23/F24</f>
        <v>-5655707.7197948685</v>
      </c>
      <c r="G25" s="327">
        <f t="shared" ref="G25:K25" si="9">G23/G24</f>
        <v>6395733.7824225631</v>
      </c>
      <c r="H25" s="327">
        <f t="shared" si="9"/>
        <v>3575100.5637562582</v>
      </c>
      <c r="I25" s="327">
        <f t="shared" si="9"/>
        <v>2927808.3805806134</v>
      </c>
      <c r="J25" s="327">
        <f t="shared" si="9"/>
        <v>2229559.2791501079</v>
      </c>
      <c r="K25" s="341">
        <f t="shared" si="9"/>
        <v>38923383.96688246</v>
      </c>
      <c r="S25" s="332">
        <v>2.9</v>
      </c>
      <c r="V25" s="332">
        <v>2.9</v>
      </c>
    </row>
    <row r="26" spans="2:28" s="332" customFormat="1" ht="21" customHeight="1" x14ac:dyDescent="0.3">
      <c r="B26" s="406"/>
      <c r="C26" s="326" t="s">
        <v>286</v>
      </c>
      <c r="D26" s="340">
        <v>0</v>
      </c>
      <c r="E26" s="327">
        <f t="shared" ref="E26:K26" si="10">E25/(1+$P$13)^E3</f>
        <v>2787677.894369788</v>
      </c>
      <c r="F26" s="327">
        <f t="shared" si="10"/>
        <v>-4763041.4149642885</v>
      </c>
      <c r="G26" s="327">
        <f t="shared" si="10"/>
        <v>4942952.9723514803</v>
      </c>
      <c r="H26" s="327">
        <f t="shared" si="10"/>
        <v>2535613.5442946036</v>
      </c>
      <c r="I26" s="327">
        <f t="shared" si="10"/>
        <v>1905619.3324868353</v>
      </c>
      <c r="J26" s="327">
        <f t="shared" si="10"/>
        <v>1331714.794119868</v>
      </c>
      <c r="K26" s="341">
        <f t="shared" si="10"/>
        <v>21335434.468688406</v>
      </c>
      <c r="S26" s="332">
        <v>5.0999999999999996</v>
      </c>
      <c r="U26" s="332">
        <v>5.3</v>
      </c>
      <c r="V26" s="332">
        <v>6.1</v>
      </c>
    </row>
    <row r="27" spans="2:28" s="332" customFormat="1" ht="21" customHeight="1" x14ac:dyDescent="0.3">
      <c r="B27" s="406"/>
      <c r="C27" s="331" t="s">
        <v>287</v>
      </c>
      <c r="D27" s="408">
        <f>SUM(D26:K26)</f>
        <v>30075971.591346692</v>
      </c>
      <c r="E27" s="409"/>
      <c r="F27" s="409"/>
      <c r="G27" s="409"/>
      <c r="H27" s="409"/>
      <c r="I27" s="409"/>
      <c r="J27" s="409"/>
      <c r="K27" s="410"/>
      <c r="S27" s="332">
        <v>6.1</v>
      </c>
      <c r="V27" s="332">
        <v>5.3</v>
      </c>
    </row>
    <row r="28" spans="2:28" s="332" customFormat="1" ht="21" customHeight="1" x14ac:dyDescent="0.3">
      <c r="B28" s="406"/>
      <c r="C28" s="326" t="s">
        <v>544</v>
      </c>
      <c r="D28" s="340">
        <f>F20/F24/(1+P13)^2</f>
        <v>-3852590.4200003832</v>
      </c>
      <c r="E28" s="327">
        <f>(E23-E20)/E24</f>
        <v>3037693.0750815384</v>
      </c>
      <c r="F28" s="327">
        <f>(F23-F20)/F24</f>
        <v>-1081083.3398455516</v>
      </c>
      <c r="G28" s="327">
        <f t="shared" ref="G28:K28" si="11">(G23-G20)/G24</f>
        <v>6395733.7824225631</v>
      </c>
      <c r="H28" s="327">
        <f t="shared" si="11"/>
        <v>3575100.5637562582</v>
      </c>
      <c r="I28" s="327">
        <f t="shared" si="11"/>
        <v>2927808.3805806134</v>
      </c>
      <c r="J28" s="327">
        <f t="shared" si="11"/>
        <v>2229559.2791501079</v>
      </c>
      <c r="K28" s="341">
        <f t="shared" si="11"/>
        <v>38923383.96688246</v>
      </c>
      <c r="S28" s="332">
        <f>AVERAGE(S25:S27,S23)</f>
        <v>4.8516706833244641</v>
      </c>
    </row>
    <row r="29" spans="2:28" s="332" customFormat="1" ht="21" customHeight="1" x14ac:dyDescent="0.3">
      <c r="B29" s="406"/>
      <c r="C29" s="351" t="s">
        <v>289</v>
      </c>
      <c r="D29" s="413">
        <f>IRR(D28:K28)</f>
        <v>0.76889528823152786</v>
      </c>
      <c r="E29" s="414"/>
      <c r="F29" s="414"/>
      <c r="G29" s="414"/>
      <c r="H29" s="414"/>
      <c r="I29" s="414"/>
      <c r="J29" s="414"/>
      <c r="K29" s="415"/>
    </row>
    <row r="30" spans="2:28" ht="22.5" customHeight="1" x14ac:dyDescent="0.35">
      <c r="B30" s="407"/>
      <c r="C30" s="337" t="s">
        <v>558</v>
      </c>
      <c r="D30" s="402">
        <f>G69</f>
        <v>2.884293798365793</v>
      </c>
      <c r="E30" s="403"/>
      <c r="F30" s="403"/>
      <c r="G30" s="403"/>
      <c r="H30" s="403"/>
      <c r="I30" s="403"/>
      <c r="J30" s="403"/>
      <c r="K30" s="404"/>
    </row>
    <row r="32" spans="2:28" ht="21.75" customHeight="1" x14ac:dyDescent="0.35">
      <c r="D32" s="338" t="s">
        <v>7</v>
      </c>
      <c r="E32" s="323">
        <v>2025</v>
      </c>
      <c r="F32" s="323">
        <v>2026</v>
      </c>
      <c r="G32" s="323">
        <v>2027</v>
      </c>
      <c r="H32" s="323">
        <v>2028</v>
      </c>
      <c r="I32" s="323">
        <v>2029</v>
      </c>
      <c r="J32" s="323">
        <v>2030</v>
      </c>
      <c r="K32" s="322">
        <v>2031</v>
      </c>
    </row>
    <row r="33" spans="4:11" ht="21.75" customHeight="1" x14ac:dyDescent="0.35">
      <c r="D33" s="340" t="s">
        <v>2</v>
      </c>
      <c r="E33" s="327">
        <v>402000</v>
      </c>
      <c r="F33" s="327">
        <v>418435.6079608858</v>
      </c>
      <c r="G33" s="327">
        <v>438210.88838744041</v>
      </c>
      <c r="H33" s="327">
        <v>462359.79535076686</v>
      </c>
      <c r="I33" s="327">
        <v>492668.89615189889</v>
      </c>
      <c r="J33" s="327">
        <v>531938.67084170762</v>
      </c>
      <c r="K33" s="341">
        <v>584850.16637756722</v>
      </c>
    </row>
    <row r="34" spans="4:11" ht="21.75" customHeight="1" x14ac:dyDescent="0.35">
      <c r="D34" s="340" t="s">
        <v>32</v>
      </c>
      <c r="E34" s="327">
        <v>1619000</v>
      </c>
      <c r="F34" s="327">
        <v>1704915.2356958711</v>
      </c>
      <c r="G34" s="327">
        <v>1791438.2926412192</v>
      </c>
      <c r="H34" s="327">
        <v>1705048.9757592878</v>
      </c>
      <c r="I34" s="327">
        <v>1627535.7920900953</v>
      </c>
      <c r="J34" s="327">
        <v>1558482.7847850258</v>
      </c>
      <c r="K34" s="341">
        <v>1497571.1540881163</v>
      </c>
    </row>
    <row r="35" spans="4:11" ht="21.75" customHeight="1" x14ac:dyDescent="0.35">
      <c r="D35" s="340" t="s">
        <v>34</v>
      </c>
      <c r="E35" s="327">
        <v>3718000</v>
      </c>
      <c r="F35" s="327">
        <v>3759425.7699459959</v>
      </c>
      <c r="G35" s="327">
        <v>3805499.6211325307</v>
      </c>
      <c r="H35" s="327">
        <v>3856551.2106568674</v>
      </c>
      <c r="I35" s="327">
        <v>3912944.896142656</v>
      </c>
      <c r="J35" s="327">
        <v>3975083.9592435542</v>
      </c>
      <c r="K35" s="341">
        <v>4043415.4254905563</v>
      </c>
    </row>
    <row r="36" spans="4:11" ht="21.75" customHeight="1" x14ac:dyDescent="0.35">
      <c r="D36" s="340" t="s">
        <v>5</v>
      </c>
      <c r="E36" s="327">
        <v>1133000</v>
      </c>
      <c r="F36" s="327">
        <v>1177571.6184087007</v>
      </c>
      <c r="G36" s="327">
        <v>1231542.9371546488</v>
      </c>
      <c r="H36" s="327">
        <v>1296697.0991489172</v>
      </c>
      <c r="I36" s="327">
        <v>1375285.1470040227</v>
      </c>
      <c r="J36" s="327">
        <v>1470172.0444348566</v>
      </c>
      <c r="K36" s="341">
        <v>1585036.1289905501</v>
      </c>
    </row>
    <row r="37" spans="4:11" ht="21.75" customHeight="1" x14ac:dyDescent="0.35">
      <c r="D37" s="339" t="s">
        <v>8</v>
      </c>
      <c r="E37" s="325">
        <v>2025</v>
      </c>
      <c r="F37" s="325">
        <v>2026</v>
      </c>
      <c r="G37" s="325">
        <v>2027</v>
      </c>
      <c r="H37" s="325">
        <v>2028</v>
      </c>
      <c r="I37" s="325">
        <v>2029</v>
      </c>
      <c r="J37" s="325">
        <v>2030</v>
      </c>
      <c r="K37" s="324">
        <v>2031</v>
      </c>
    </row>
    <row r="38" spans="4:11" ht="21.75" customHeight="1" x14ac:dyDescent="0.35">
      <c r="D38" s="340" t="s">
        <v>2</v>
      </c>
      <c r="E38" s="327">
        <v>640.0737777777772</v>
      </c>
      <c r="F38" s="327">
        <v>650.10241289589828</v>
      </c>
      <c r="G38" s="327">
        <v>660.02802954699143</v>
      </c>
      <c r="H38" s="327">
        <v>669.84781556558801</v>
      </c>
      <c r="I38" s="327">
        <v>679.55916800685156</v>
      </c>
      <c r="J38" s="327">
        <v>689.15968833245142</v>
      </c>
      <c r="K38" s="341">
        <v>698.64717735887064</v>
      </c>
    </row>
    <row r="39" spans="4:11" ht="21.75" customHeight="1" x14ac:dyDescent="0.35">
      <c r="D39" s="340" t="s">
        <v>32</v>
      </c>
      <c r="E39" s="327">
        <v>280.03227777777755</v>
      </c>
      <c r="F39" s="327">
        <v>284.41980564195552</v>
      </c>
      <c r="G39" s="327">
        <v>288.76226292680877</v>
      </c>
      <c r="H39" s="327">
        <v>293.05841930994478</v>
      </c>
      <c r="I39" s="327">
        <v>297.30713600299759</v>
      </c>
      <c r="J39" s="327">
        <v>301.50736364544753</v>
      </c>
      <c r="K39" s="341">
        <v>305.65814009450594</v>
      </c>
    </row>
    <row r="40" spans="4:11" ht="21.75" customHeight="1" x14ac:dyDescent="0.35">
      <c r="D40" s="340" t="s">
        <v>34</v>
      </c>
      <c r="E40" s="327">
        <v>268.6023888888887</v>
      </c>
      <c r="F40" s="327">
        <v>272.81083398310022</v>
      </c>
      <c r="G40" s="327">
        <v>276.97604811346969</v>
      </c>
      <c r="H40" s="327">
        <v>281.09685117484503</v>
      </c>
      <c r="I40" s="327">
        <v>285.17215086001812</v>
      </c>
      <c r="J40" s="327">
        <v>289.20094063951092</v>
      </c>
      <c r="K40" s="341">
        <v>293.18229764166898</v>
      </c>
    </row>
    <row r="41" spans="4:11" ht="21.75" customHeight="1" x14ac:dyDescent="0.35">
      <c r="D41" s="340" t="s">
        <v>5</v>
      </c>
      <c r="E41" s="327">
        <v>302.89205555555532</v>
      </c>
      <c r="F41" s="327">
        <v>307.63774895966617</v>
      </c>
      <c r="G41" s="327">
        <v>312.334692553487</v>
      </c>
      <c r="H41" s="327">
        <v>316.98155558014429</v>
      </c>
      <c r="I41" s="327">
        <v>321.57710628895649</v>
      </c>
      <c r="J41" s="327">
        <v>326.12020965732074</v>
      </c>
      <c r="K41" s="341">
        <v>330.60982500017985</v>
      </c>
    </row>
    <row r="42" spans="4:11" ht="21.75" customHeight="1" x14ac:dyDescent="0.35">
      <c r="D42" s="339" t="s">
        <v>46</v>
      </c>
      <c r="E42" s="325">
        <v>2025</v>
      </c>
      <c r="F42" s="325">
        <v>2026</v>
      </c>
      <c r="G42" s="325">
        <v>2027</v>
      </c>
      <c r="H42" s="325">
        <v>2028</v>
      </c>
      <c r="I42" s="325">
        <v>2029</v>
      </c>
      <c r="J42" s="325">
        <v>2030</v>
      </c>
      <c r="K42" s="324">
        <v>2031</v>
      </c>
    </row>
    <row r="43" spans="4:11" ht="21.75" customHeight="1" x14ac:dyDescent="0.35">
      <c r="D43" s="340" t="s">
        <v>2</v>
      </c>
      <c r="E43" s="327">
        <v>257309658.66666642</v>
      </c>
      <c r="F43" s="327">
        <v>272025998.37693399</v>
      </c>
      <c r="G43" s="327">
        <v>289231469.1883989</v>
      </c>
      <c r="H43" s="327">
        <v>309710698.92106348</v>
      </c>
      <c r="I43" s="327">
        <v>334797665.17183834</v>
      </c>
      <c r="J43" s="327">
        <v>366590688.60924971</v>
      </c>
      <c r="K43" s="341">
        <v>408603917.91755319</v>
      </c>
    </row>
    <row r="44" spans="4:11" ht="21.75" customHeight="1" x14ac:dyDescent="0.35">
      <c r="D44" s="340" t="s">
        <v>32</v>
      </c>
      <c r="E44" s="327">
        <v>453372257.72222185</v>
      </c>
      <c r="F44" s="327">
        <v>484911659.97262841</v>
      </c>
      <c r="G44" s="327">
        <v>517299775.27681714</v>
      </c>
      <c r="H44" s="327">
        <v>499678957.68205726</v>
      </c>
      <c r="I44" s="327">
        <v>483878005.08867639</v>
      </c>
      <c r="J44" s="327">
        <v>469894035.72734851</v>
      </c>
      <c r="K44" s="341">
        <v>457744813.61775637</v>
      </c>
    </row>
    <row r="45" spans="4:11" ht="21.75" customHeight="1" x14ac:dyDescent="0.35">
      <c r="D45" s="340" t="s">
        <v>34</v>
      </c>
      <c r="E45" s="327">
        <v>998663681.88888812</v>
      </c>
      <c r="F45" s="327">
        <v>1025612079.5965258</v>
      </c>
      <c r="G45" s="327">
        <v>1054032246.1585945</v>
      </c>
      <c r="H45" s="327">
        <v>1084064401.710182</v>
      </c>
      <c r="I45" s="327">
        <v>1115862912.2297313</v>
      </c>
      <c r="J45" s="327">
        <v>1149598020.1342671</v>
      </c>
      <c r="K45" s="341">
        <v>1185457824.7650878</v>
      </c>
    </row>
    <row r="46" spans="4:11" ht="21.75" customHeight="1" x14ac:dyDescent="0.35">
      <c r="D46" s="340" t="s">
        <v>5</v>
      </c>
      <c r="E46" s="327">
        <v>343176698.94444418</v>
      </c>
      <c r="F46" s="327">
        <v>362265481.92604369</v>
      </c>
      <c r="G46" s="327">
        <v>384653584.64261562</v>
      </c>
      <c r="H46" s="327">
        <v>411029063.60448438</v>
      </c>
      <c r="I46" s="327">
        <v>442260217.89573574</v>
      </c>
      <c r="J46" s="327">
        <v>479452815.36342728</v>
      </c>
      <c r="K46" s="341">
        <v>524028517.22452825</v>
      </c>
    </row>
    <row r="47" spans="4:11" ht="21.75" customHeight="1" x14ac:dyDescent="0.35">
      <c r="D47" s="339" t="s">
        <v>13</v>
      </c>
      <c r="E47" s="325">
        <v>2025</v>
      </c>
      <c r="F47" s="325">
        <v>2026</v>
      </c>
      <c r="G47" s="325">
        <v>2027</v>
      </c>
      <c r="H47" s="325">
        <v>2028</v>
      </c>
      <c r="I47" s="325">
        <v>2029</v>
      </c>
      <c r="J47" s="325">
        <v>2030</v>
      </c>
      <c r="K47" s="324">
        <v>2031</v>
      </c>
    </row>
    <row r="48" spans="4:11" ht="21.75" customHeight="1" x14ac:dyDescent="0.35">
      <c r="D48" s="340" t="s">
        <v>2</v>
      </c>
      <c r="E48" s="327">
        <v>105221271.13333325</v>
      </c>
      <c r="F48" s="327">
        <v>103845288.77197577</v>
      </c>
      <c r="G48" s="327">
        <v>100390184.80082598</v>
      </c>
      <c r="H48" s="327">
        <v>107839723.3061811</v>
      </c>
      <c r="I48" s="327">
        <v>115853042.81801343</v>
      </c>
      <c r="J48" s="327">
        <v>124488302.71881093</v>
      </c>
      <c r="K48" s="341">
        <v>133817001.36763039</v>
      </c>
    </row>
    <row r="49" spans="4:12" ht="21.75" customHeight="1" x14ac:dyDescent="0.35">
      <c r="D49" s="340" t="s">
        <v>32</v>
      </c>
      <c r="E49" s="327">
        <v>233162875.39999983</v>
      </c>
      <c r="F49" s="327">
        <v>240718090.66129434</v>
      </c>
      <c r="G49" s="327">
        <v>242912474.52898782</v>
      </c>
      <c r="H49" s="327">
        <v>246721288.04582125</v>
      </c>
      <c r="I49" s="327">
        <v>251317143.1536136</v>
      </c>
      <c r="J49" s="327">
        <v>256812037.20618424</v>
      </c>
      <c r="K49" s="341">
        <v>263343518.21217361</v>
      </c>
    </row>
    <row r="50" spans="4:12" ht="21.75" customHeight="1" x14ac:dyDescent="0.35">
      <c r="D50" s="340" t="s">
        <v>34</v>
      </c>
      <c r="E50" s="327">
        <v>499331840.94444406</v>
      </c>
      <c r="F50" s="327">
        <v>494988117.75982833</v>
      </c>
      <c r="G50" s="327">
        <v>481201496.71947008</v>
      </c>
      <c r="H50" s="327">
        <v>520398684.05565327</v>
      </c>
      <c r="I50" s="327">
        <v>563459388.44440198</v>
      </c>
      <c r="J50" s="327">
        <v>610839332.76610053</v>
      </c>
      <c r="K50" s="341">
        <v>663056981.52272558</v>
      </c>
    </row>
    <row r="51" spans="4:12" ht="21.75" customHeight="1" x14ac:dyDescent="0.35">
      <c r="D51" s="346" t="s">
        <v>5</v>
      </c>
      <c r="E51" s="347">
        <v>160580794.97777766</v>
      </c>
      <c r="F51" s="347">
        <v>163623021.46706527</v>
      </c>
      <c r="G51" s="347">
        <v>164342035.94575167</v>
      </c>
      <c r="H51" s="347">
        <v>184654308.25862893</v>
      </c>
      <c r="I51" s="347">
        <v>208994789.51192117</v>
      </c>
      <c r="J51" s="347">
        <v>238414501.08750877</v>
      </c>
      <c r="K51" s="348">
        <v>274299788.72486818</v>
      </c>
    </row>
    <row r="54" spans="4:12" ht="15" x14ac:dyDescent="0.35">
      <c r="D54" s="325" t="s">
        <v>571</v>
      </c>
      <c r="E54" s="325">
        <v>2024</v>
      </c>
      <c r="F54" s="325">
        <v>2025</v>
      </c>
      <c r="G54" s="325">
        <v>2026</v>
      </c>
      <c r="H54" s="325">
        <v>2027</v>
      </c>
      <c r="I54" s="325">
        <v>2028</v>
      </c>
      <c r="J54" s="325">
        <v>2029</v>
      </c>
      <c r="K54" s="325">
        <v>2030</v>
      </c>
      <c r="L54" s="324">
        <v>2031</v>
      </c>
    </row>
    <row r="55" spans="4:12" x14ac:dyDescent="0.35">
      <c r="D55" s="340" t="s">
        <v>71</v>
      </c>
      <c r="E55" s="368">
        <f>'NPV Modelling'!H87</f>
        <v>6.3670274725274725</v>
      </c>
      <c r="F55" s="368">
        <v>5.964985918086871</v>
      </c>
      <c r="G55" s="368">
        <v>5.5883310000624702</v>
      </c>
      <c r="H55" s="368">
        <v>5.2354596968227742</v>
      </c>
      <c r="I55" s="368">
        <v>5.5660491852149443</v>
      </c>
      <c r="J55" s="368">
        <v>5.9175135186377661</v>
      </c>
      <c r="K55" s="368">
        <v>6.2911708247702922</v>
      </c>
      <c r="L55" s="368">
        <v>6.6884224635539349</v>
      </c>
    </row>
    <row r="56" spans="4:12" x14ac:dyDescent="0.35">
      <c r="D56" s="340" t="s">
        <v>66</v>
      </c>
      <c r="E56" s="368">
        <f>'NPV Modelling'!H89</f>
        <v>0.20599780219780214</v>
      </c>
      <c r="F56" s="368">
        <v>0.20172898483026</v>
      </c>
      <c r="G56" s="368">
        <v>0.19754862860901656</v>
      </c>
      <c r="H56" s="368">
        <v>0.19345490038598168</v>
      </c>
      <c r="I56" s="368">
        <v>0.18944600500072487</v>
      </c>
      <c r="J56" s="368">
        <v>0.18552018449327093</v>
      </c>
      <c r="K56" s="368">
        <v>0.18167571733320845</v>
      </c>
      <c r="L56" s="368">
        <v>0.17791091766477318</v>
      </c>
    </row>
    <row r="57" spans="4:12" x14ac:dyDescent="0.35">
      <c r="D57" s="340" t="s">
        <v>548</v>
      </c>
      <c r="E57" s="368">
        <f>'NPV Modelling'!H91/1000</f>
        <v>22.422999999999998</v>
      </c>
      <c r="F57" s="368">
        <v>22.983000000000001</v>
      </c>
      <c r="G57" s="368">
        <v>23.558</v>
      </c>
      <c r="H57" s="368">
        <v>24.146999999999998</v>
      </c>
      <c r="I57" s="368">
        <v>24.75</v>
      </c>
      <c r="J57" s="368">
        <v>25.369</v>
      </c>
      <c r="K57" s="368">
        <v>26.003</v>
      </c>
      <c r="L57" s="368">
        <v>26.652999999999999</v>
      </c>
    </row>
    <row r="60" spans="4:12" ht="15" x14ac:dyDescent="0.35">
      <c r="D60" s="325"/>
      <c r="E60" s="325" t="s">
        <v>25</v>
      </c>
      <c r="F60" s="325" t="s">
        <v>549</v>
      </c>
      <c r="G60" s="325" t="s">
        <v>550</v>
      </c>
    </row>
    <row r="61" spans="4:12" x14ac:dyDescent="0.35">
      <c r="D61" s="40" t="s">
        <v>551</v>
      </c>
      <c r="E61">
        <v>2024</v>
      </c>
      <c r="F61">
        <v>0</v>
      </c>
      <c r="G61" s="349">
        <v>0</v>
      </c>
    </row>
    <row r="62" spans="4:12" x14ac:dyDescent="0.35">
      <c r="D62" s="40" t="s">
        <v>6</v>
      </c>
      <c r="E62">
        <v>2025</v>
      </c>
      <c r="F62">
        <v>3037693.0750815384</v>
      </c>
      <c r="G62" s="349">
        <v>0</v>
      </c>
    </row>
    <row r="63" spans="4:12" x14ac:dyDescent="0.35">
      <c r="D63" s="40" t="s">
        <v>262</v>
      </c>
      <c r="E63">
        <v>2026</v>
      </c>
      <c r="F63">
        <v>-5655707.7197948685</v>
      </c>
      <c r="G63" s="349">
        <f>-F63</f>
        <v>5655707.7197948685</v>
      </c>
    </row>
    <row r="64" spans="4:12" x14ac:dyDescent="0.35">
      <c r="D64" s="40" t="s">
        <v>552</v>
      </c>
      <c r="E64">
        <v>2027</v>
      </c>
      <c r="F64" s="29">
        <v>6395733.7824225631</v>
      </c>
      <c r="G64" s="349">
        <f>G63-F64</f>
        <v>-740026.06262769457</v>
      </c>
    </row>
    <row r="65" spans="4:11" x14ac:dyDescent="0.35">
      <c r="D65" s="40" t="s">
        <v>553</v>
      </c>
      <c r="E65">
        <v>2028</v>
      </c>
      <c r="F65" s="29">
        <v>3575100.5637562582</v>
      </c>
      <c r="G65" s="349">
        <f t="shared" ref="G65:G68" si="12">G64-F65</f>
        <v>-4315126.6263839528</v>
      </c>
    </row>
    <row r="66" spans="4:11" x14ac:dyDescent="0.35">
      <c r="D66" s="40" t="s">
        <v>554</v>
      </c>
      <c r="E66">
        <v>2029</v>
      </c>
      <c r="F66" s="29">
        <v>2927808.3805806134</v>
      </c>
      <c r="G66" s="349">
        <f t="shared" si="12"/>
        <v>-7242935.0069645662</v>
      </c>
    </row>
    <row r="67" spans="4:11" x14ac:dyDescent="0.35">
      <c r="D67" s="40" t="s">
        <v>555</v>
      </c>
      <c r="E67">
        <v>2030</v>
      </c>
      <c r="F67" s="29">
        <v>2229559.2791501079</v>
      </c>
      <c r="G67" s="349">
        <f t="shared" si="12"/>
        <v>-9472494.2861146741</v>
      </c>
    </row>
    <row r="68" spans="4:11" x14ac:dyDescent="0.35">
      <c r="D68" s="40" t="s">
        <v>556</v>
      </c>
      <c r="E68">
        <v>2031</v>
      </c>
      <c r="F68" s="29">
        <v>38923383.96688246</v>
      </c>
      <c r="G68" s="349">
        <f t="shared" si="12"/>
        <v>-48395878.25299713</v>
      </c>
    </row>
    <row r="69" spans="4:11" ht="15" x14ac:dyDescent="0.35">
      <c r="F69" s="325" t="s">
        <v>557</v>
      </c>
      <c r="G69" s="350">
        <f>2+(G63/F64)</f>
        <v>2.884293798365793</v>
      </c>
    </row>
    <row r="79" spans="4:11" x14ac:dyDescent="0.35">
      <c r="D79">
        <v>0</v>
      </c>
      <c r="E79">
        <v>3037693.0750815384</v>
      </c>
      <c r="F79">
        <v>-5655707.7197948685</v>
      </c>
      <c r="G79">
        <v>6395733.7824225631</v>
      </c>
      <c r="H79">
        <v>3575100.5637562582</v>
      </c>
      <c r="I79">
        <v>2927808.3805806134</v>
      </c>
      <c r="J79">
        <v>2229559.2791501079</v>
      </c>
      <c r="K79">
        <v>38923383.96688246</v>
      </c>
    </row>
    <row r="112" spans="3:6" x14ac:dyDescent="0.35">
      <c r="C112" t="s">
        <v>21</v>
      </c>
      <c r="E112">
        <v>58.208653592278068</v>
      </c>
      <c r="F112">
        <v>58.715725397297987</v>
      </c>
    </row>
    <row r="113" spans="3:11" x14ac:dyDescent="0.35">
      <c r="C113" t="s">
        <v>285</v>
      </c>
      <c r="E113">
        <f>E21/E112</f>
        <v>3037693.0750815384</v>
      </c>
      <c r="F113">
        <f>F21/F112</f>
        <v>-5655707.7197948685</v>
      </c>
    </row>
    <row r="114" spans="3:11" x14ac:dyDescent="0.35">
      <c r="C114" t="s">
        <v>286</v>
      </c>
      <c r="D114">
        <f>-4600000</f>
        <v>-4600000</v>
      </c>
      <c r="E114">
        <f>E113/(1+$P$13)^E3</f>
        <v>2787677.894369788</v>
      </c>
      <c r="F114">
        <f>F113/(1+$P$13)^F3</f>
        <v>-4763041.4149642885</v>
      </c>
    </row>
    <row r="121" spans="3:11" x14ac:dyDescent="0.35">
      <c r="C121" t="s">
        <v>290</v>
      </c>
      <c r="D121">
        <f>-4600000</f>
        <v>-4600000</v>
      </c>
    </row>
    <row r="122" spans="3:11" x14ac:dyDescent="0.35">
      <c r="C122" t="s">
        <v>291</v>
      </c>
    </row>
    <row r="123" spans="3:11" x14ac:dyDescent="0.35">
      <c r="C123" t="s">
        <v>292</v>
      </c>
      <c r="D123">
        <f>SUM(E127:K127,F122)</f>
        <v>32051335.111941192</v>
      </c>
    </row>
    <row r="124" spans="3:11" x14ac:dyDescent="0.35">
      <c r="D124">
        <f>D121</f>
        <v>-4600000</v>
      </c>
      <c r="E124">
        <f>E114</f>
        <v>2787677.894369788</v>
      </c>
      <c r="F124">
        <f t="shared" ref="F124:J137" si="13">F114</f>
        <v>-4763041.4149642885</v>
      </c>
    </row>
    <row r="125" spans="3:11" x14ac:dyDescent="0.35">
      <c r="D125">
        <f>NPV(P13,E127:K127)+D121</f>
        <v>18375372.621480908</v>
      </c>
      <c r="G125">
        <v>59.285036190384766</v>
      </c>
      <c r="H125">
        <v>59.916758339966201</v>
      </c>
      <c r="I125">
        <v>60.61124092211643</v>
      </c>
      <c r="J125">
        <v>61.369003953951839</v>
      </c>
      <c r="K125">
        <v>62.190733657742236</v>
      </c>
    </row>
    <row r="126" spans="3:11" x14ac:dyDescent="0.35">
      <c r="D126" t="e">
        <f>IRR(D137:K137)</f>
        <v>#NUM!</v>
      </c>
      <c r="G126">
        <f>G21/G125</f>
        <v>6395733.7824225631</v>
      </c>
      <c r="H126">
        <f>H21/H125</f>
        <v>3575100.5637562582</v>
      </c>
      <c r="I126">
        <f>I21/I125</f>
        <v>2927808.3805806134</v>
      </c>
      <c r="J126">
        <f>J21/J125</f>
        <v>2229559.2791501079</v>
      </c>
      <c r="K126">
        <f>(K21+K22)/K125</f>
        <v>38923383.96688246</v>
      </c>
    </row>
    <row r="127" spans="3:11" x14ac:dyDescent="0.35">
      <c r="G127">
        <f>G126/(1+$P$13)^G3</f>
        <v>4942952.9723514803</v>
      </c>
      <c r="H127">
        <f>H126/(1+$P$13)^H3</f>
        <v>2535613.5442946036</v>
      </c>
      <c r="I127">
        <f>I126/(1+$P$13)^I3</f>
        <v>1905619.3324868353</v>
      </c>
      <c r="J127">
        <f>J126/(1+$P$13)^J3</f>
        <v>1331714.794119868</v>
      </c>
      <c r="K127">
        <f>K126/(1+$P$13)^K3</f>
        <v>21335434.468688406</v>
      </c>
    </row>
    <row r="128" spans="3:11" x14ac:dyDescent="0.35">
      <c r="E128" t="e">
        <f>IRR(D137:J137)</f>
        <v>#NUM!</v>
      </c>
    </row>
    <row r="131" spans="3:11" ht="15.5" x14ac:dyDescent="0.35">
      <c r="C131" s="314"/>
      <c r="D131" s="314"/>
      <c r="E131" s="314"/>
      <c r="F131" s="314"/>
    </row>
    <row r="132" spans="3:11" ht="15.5" x14ac:dyDescent="0.35">
      <c r="C132" s="314"/>
      <c r="D132" s="314"/>
      <c r="E132" s="314"/>
      <c r="F132" s="314"/>
    </row>
    <row r="137" spans="3:11" x14ac:dyDescent="0.35">
      <c r="G137">
        <f t="shared" si="13"/>
        <v>4942952.9723514803</v>
      </c>
      <c r="H137">
        <f t="shared" si="13"/>
        <v>2535613.5442946036</v>
      </c>
      <c r="I137">
        <f t="shared" si="13"/>
        <v>1905619.3324868353</v>
      </c>
      <c r="J137">
        <f t="shared" si="13"/>
        <v>1331714.794119868</v>
      </c>
      <c r="K137">
        <f>K127</f>
        <v>21335434.468688406</v>
      </c>
    </row>
    <row r="144" spans="3:11" ht="15.5" x14ac:dyDescent="0.35">
      <c r="G144" s="314"/>
      <c r="H144" s="314"/>
      <c r="I144" s="314"/>
      <c r="J144" s="314"/>
    </row>
    <row r="145" spans="7:10" ht="15.5" x14ac:dyDescent="0.35">
      <c r="G145" s="314"/>
      <c r="H145" s="314"/>
      <c r="I145" s="314"/>
      <c r="J145" s="314"/>
    </row>
  </sheetData>
  <mergeCells count="7">
    <mergeCell ref="D30:K30"/>
    <mergeCell ref="B25:B30"/>
    <mergeCell ref="D27:K27"/>
    <mergeCell ref="C3:C4"/>
    <mergeCell ref="D29:K29"/>
    <mergeCell ref="B3:B4"/>
    <mergeCell ref="B5:B2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AB5E-233E-4619-8CBF-7E4E90DF5F3A}">
  <dimension ref="A1:AP121"/>
  <sheetViews>
    <sheetView zoomScale="70" zoomScaleNormal="70" workbookViewId="0">
      <selection activeCell="O38" sqref="O38"/>
    </sheetView>
  </sheetViews>
  <sheetFormatPr defaultRowHeight="14.5" x14ac:dyDescent="0.35"/>
  <cols>
    <col min="1" max="4" width="18.453125" customWidth="1"/>
    <col min="5" max="5" width="32.7265625" bestFit="1" customWidth="1"/>
    <col min="6" max="6" width="20.7265625" bestFit="1" customWidth="1"/>
    <col min="7" max="7" width="32.1796875" bestFit="1" customWidth="1"/>
    <col min="8" max="10" width="30.1796875" customWidth="1"/>
    <col min="11" max="11" width="21.54296875" customWidth="1"/>
    <col min="12" max="12" width="22.81640625" customWidth="1"/>
    <col min="13" max="13" width="19.54296875" customWidth="1"/>
    <col min="14" max="14" width="21.1796875" customWidth="1"/>
    <col min="15" max="19" width="18.453125" customWidth="1"/>
    <col min="22" max="22" width="18" bestFit="1" customWidth="1"/>
    <col min="25" max="25" width="13" bestFit="1" customWidth="1"/>
    <col min="26" max="26" width="12.453125" bestFit="1" customWidth="1"/>
    <col min="27" max="27" width="11.81640625" bestFit="1" customWidth="1"/>
    <col min="28" max="28" width="12.7265625" bestFit="1" customWidth="1"/>
    <col min="34" max="34" width="18.1796875" customWidth="1"/>
  </cols>
  <sheetData>
    <row r="1" spans="1:21" ht="57.65" customHeight="1" x14ac:dyDescent="0.35">
      <c r="A1" s="359" t="s">
        <v>435</v>
      </c>
      <c r="B1" s="359" t="s">
        <v>349</v>
      </c>
      <c r="C1" s="418" t="s">
        <v>350</v>
      </c>
      <c r="D1" s="419"/>
      <c r="E1" s="422"/>
      <c r="F1" s="422"/>
      <c r="G1" s="422"/>
      <c r="O1" s="360"/>
      <c r="P1" s="360"/>
      <c r="Q1" s="360"/>
      <c r="R1" s="360"/>
      <c r="S1" s="360"/>
    </row>
    <row r="2" spans="1:21" ht="41.5" customHeight="1" x14ac:dyDescent="0.35">
      <c r="A2" s="4" t="s">
        <v>570</v>
      </c>
      <c r="B2" s="4" t="s">
        <v>21</v>
      </c>
      <c r="C2" s="4" t="s">
        <v>285</v>
      </c>
      <c r="D2" s="4" t="s">
        <v>22</v>
      </c>
      <c r="E2" s="4" t="s">
        <v>351</v>
      </c>
      <c r="F2" s="4" t="s">
        <v>352</v>
      </c>
      <c r="G2" s="4" t="s">
        <v>353</v>
      </c>
      <c r="H2" s="4" t="s">
        <v>25</v>
      </c>
      <c r="I2" s="4" t="s">
        <v>21</v>
      </c>
      <c r="J2" s="4" t="s">
        <v>64</v>
      </c>
      <c r="O2" s="356"/>
      <c r="P2" s="356"/>
      <c r="Q2" s="356"/>
      <c r="R2" s="4"/>
      <c r="S2" s="4"/>
    </row>
    <row r="3" spans="1:21" x14ac:dyDescent="0.35">
      <c r="A3" s="54">
        <v>1995</v>
      </c>
      <c r="B3" s="54">
        <v>25.71446667</v>
      </c>
      <c r="C3" s="54">
        <v>2.8054196885365399</v>
      </c>
      <c r="D3" s="54">
        <v>6.8319961098953401</v>
      </c>
      <c r="E3" s="54"/>
      <c r="F3" s="54"/>
      <c r="G3" s="54"/>
      <c r="H3" s="361">
        <v>2024</v>
      </c>
      <c r="I3" s="362">
        <f t="shared" ref="I3:I9" si="0">B32</f>
        <v>57.149444444444399</v>
      </c>
      <c r="J3" s="363">
        <f>C33/C32-1</f>
        <v>-0.31034482758620685</v>
      </c>
      <c r="O3" s="40"/>
    </row>
    <row r="4" spans="1:21" x14ac:dyDescent="0.35">
      <c r="A4" s="54">
        <v>1996</v>
      </c>
      <c r="B4" s="54">
        <v>26.216100000000001</v>
      </c>
      <c r="C4" s="54">
        <v>2.93120419993445</v>
      </c>
      <c r="D4" s="54">
        <v>7.4761037778791</v>
      </c>
      <c r="E4" s="54">
        <f>((1+D3%)/(1+C3%))-1</f>
        <v>3.9166966426068539E-2</v>
      </c>
      <c r="F4" s="54">
        <f>(B4-B3)/B3</f>
        <v>1.9507825553513634E-2</v>
      </c>
      <c r="G4" s="54">
        <v>3.0051274178742638E-2</v>
      </c>
      <c r="H4" s="361" t="s">
        <v>52</v>
      </c>
      <c r="I4" s="362">
        <f t="shared" si="0"/>
        <v>58.208653592278019</v>
      </c>
      <c r="J4" s="363">
        <f>I4/I3-1</f>
        <v>1.8534023526042942E-2</v>
      </c>
      <c r="O4" s="66"/>
      <c r="P4" s="66"/>
      <c r="Q4" s="66"/>
      <c r="R4" s="54">
        <f>(C4-C3)/C3</f>
        <v>4.4836254593880819E-2</v>
      </c>
      <c r="S4" s="54">
        <f>(D4-D3)/D3</f>
        <v>9.4278108128727695E-2</v>
      </c>
    </row>
    <row r="5" spans="1:21" x14ac:dyDescent="0.35">
      <c r="A5" s="54">
        <v>1997</v>
      </c>
      <c r="B5" s="54">
        <v>29.470658329999999</v>
      </c>
      <c r="C5" s="54">
        <v>2.3376899373073798</v>
      </c>
      <c r="D5" s="54">
        <v>5.5902593965060099</v>
      </c>
      <c r="E5" s="54">
        <f t="shared" ref="E5:E39" si="1">((1+D4%)/(1+C4%))-1</f>
        <v>4.4154730465570058E-2</v>
      </c>
      <c r="F5" s="54">
        <f t="shared" ref="F5:F39" si="2">(B5-B4)/B4</f>
        <v>0.12414349693508944</v>
      </c>
      <c r="G5" s="54">
        <v>2.9691625685860621E-2</v>
      </c>
      <c r="H5" s="361" t="s">
        <v>53</v>
      </c>
      <c r="I5" s="362">
        <f t="shared" si="0"/>
        <v>58.715725397297938</v>
      </c>
      <c r="J5" s="363">
        <f>I5/I4-1</f>
        <v>8.7112787141874204E-3</v>
      </c>
      <c r="R5" s="54">
        <f t="shared" ref="R5:R32" si="3">(C5-C4)/C4</f>
        <v>-0.20248137698504351</v>
      </c>
      <c r="S5" s="54">
        <f t="shared" ref="S5:S32" si="4">(D5-D4)/D4</f>
        <v>-0.25224962592855904</v>
      </c>
    </row>
    <row r="6" spans="1:21" x14ac:dyDescent="0.35">
      <c r="A6" s="54">
        <v>1998</v>
      </c>
      <c r="B6" s="54">
        <v>40.893050000000002</v>
      </c>
      <c r="C6" s="54">
        <v>1.5522790987436099</v>
      </c>
      <c r="D6" s="54">
        <v>9.2349343226712097</v>
      </c>
      <c r="E6" s="54">
        <f t="shared" si="1"/>
        <v>3.1782713301337751E-2</v>
      </c>
      <c r="F6" s="54">
        <f t="shared" si="2"/>
        <v>0.38758522263387807</v>
      </c>
      <c r="G6" s="54">
        <v>3.0583724287917044E-2</v>
      </c>
      <c r="H6" s="361" t="s">
        <v>54</v>
      </c>
      <c r="I6" s="362">
        <f t="shared" si="0"/>
        <v>59.285036190384716</v>
      </c>
      <c r="J6" s="363">
        <f t="shared" ref="J6:J9" si="5">I6/I5-1</f>
        <v>9.696053131159621E-3</v>
      </c>
      <c r="R6" s="54">
        <f t="shared" si="3"/>
        <v>-0.33597733644198735</v>
      </c>
      <c r="S6" s="54">
        <f t="shared" si="4"/>
        <v>0.65196883859149224</v>
      </c>
    </row>
    <row r="7" spans="1:21" x14ac:dyDescent="0.35">
      <c r="A7" s="54">
        <v>1999</v>
      </c>
      <c r="B7" s="54">
        <v>39.088983329999998</v>
      </c>
      <c r="C7" s="54">
        <v>2.1880271969735801</v>
      </c>
      <c r="D7" s="54">
        <v>5.9390490178080801</v>
      </c>
      <c r="E7" s="54">
        <f t="shared" si="1"/>
        <v>7.5652218661261594E-2</v>
      </c>
      <c r="F7" s="54">
        <f t="shared" si="2"/>
        <v>-4.4116706139551938E-2</v>
      </c>
      <c r="G7" s="54">
        <v>2.7420462882360861E-2</v>
      </c>
      <c r="H7" s="361" t="s">
        <v>380</v>
      </c>
      <c r="I7" s="362">
        <f t="shared" si="0"/>
        <v>59.916758339966151</v>
      </c>
      <c r="J7" s="363">
        <f t="shared" si="5"/>
        <v>1.0655676207276921E-2</v>
      </c>
      <c r="R7" s="54">
        <f t="shared" si="3"/>
        <v>0.4095578551205995</v>
      </c>
      <c r="S7" s="54">
        <f t="shared" si="4"/>
        <v>-0.35689320461889251</v>
      </c>
    </row>
    <row r="8" spans="1:21" x14ac:dyDescent="0.35">
      <c r="A8" s="54">
        <v>2000</v>
      </c>
      <c r="B8" s="54">
        <v>44.192250000000001</v>
      </c>
      <c r="C8" s="54">
        <v>3.3768572714992899</v>
      </c>
      <c r="D8" s="54">
        <v>3.9771250324928</v>
      </c>
      <c r="E8" s="54">
        <f t="shared" si="1"/>
        <v>3.6707057800462239E-2</v>
      </c>
      <c r="F8" s="54">
        <f t="shared" si="2"/>
        <v>0.13055511387740162</v>
      </c>
      <c r="G8" s="54">
        <v>3.0228648734319088E-2</v>
      </c>
      <c r="H8" s="361" t="s">
        <v>382</v>
      </c>
      <c r="I8" s="362">
        <f t="shared" si="0"/>
        <v>60.61124092211638</v>
      </c>
      <c r="J8" s="363">
        <f t="shared" si="5"/>
        <v>1.1590790312949739E-2</v>
      </c>
      <c r="R8" s="54">
        <f t="shared" si="3"/>
        <v>0.54333423102330147</v>
      </c>
      <c r="S8" s="54">
        <f t="shared" si="4"/>
        <v>-0.33034312049496534</v>
      </c>
    </row>
    <row r="9" spans="1:21" x14ac:dyDescent="0.35">
      <c r="A9" s="54">
        <v>2001</v>
      </c>
      <c r="B9" s="54">
        <v>50.992649999999998</v>
      </c>
      <c r="C9" s="54">
        <v>2.8261711188540701</v>
      </c>
      <c r="D9" s="54">
        <v>5.3455019556714198</v>
      </c>
      <c r="E9" s="54">
        <f t="shared" si="1"/>
        <v>5.8065971130947247E-3</v>
      </c>
      <c r="F9" s="54">
        <f t="shared" si="2"/>
        <v>0.15388218522478481</v>
      </c>
      <c r="G9" s="54">
        <v>3.2456762179052613E-2</v>
      </c>
      <c r="H9" s="361" t="s">
        <v>384</v>
      </c>
      <c r="I9" s="362">
        <f t="shared" si="0"/>
        <v>61.369003953951783</v>
      </c>
      <c r="J9" s="363">
        <f t="shared" si="5"/>
        <v>1.2502021412317044E-2</v>
      </c>
      <c r="R9" s="54">
        <f t="shared" si="3"/>
        <v>-0.16307652600333944</v>
      </c>
      <c r="S9" s="54">
        <f t="shared" si="4"/>
        <v>0.34406183159922998</v>
      </c>
    </row>
    <row r="10" spans="1:21" x14ac:dyDescent="0.35">
      <c r="A10" s="54">
        <v>2002</v>
      </c>
      <c r="B10" s="54">
        <v>51.603566669999999</v>
      </c>
      <c r="C10" s="54">
        <v>1.5860316265060099</v>
      </c>
      <c r="D10" s="54">
        <v>2.7227722772276501</v>
      </c>
      <c r="E10" s="54">
        <f t="shared" si="1"/>
        <v>2.450087180534366E-2</v>
      </c>
      <c r="F10" s="54">
        <f t="shared" si="2"/>
        <v>1.1980484834579135E-2</v>
      </c>
      <c r="G10" s="54">
        <v>3.1108789888193863E-2</v>
      </c>
      <c r="H10" t="s">
        <v>354</v>
      </c>
      <c r="R10" s="54">
        <f t="shared" si="3"/>
        <v>-0.43880552174452214</v>
      </c>
      <c r="S10" s="54">
        <f t="shared" si="4"/>
        <v>-0.49064235691862967</v>
      </c>
    </row>
    <row r="11" spans="1:21" ht="15" thickBot="1" x14ac:dyDescent="0.4">
      <c r="A11" s="54">
        <v>2003</v>
      </c>
      <c r="B11" s="54">
        <v>54.20333333</v>
      </c>
      <c r="C11" s="54">
        <v>2.2700949733611502</v>
      </c>
      <c r="D11" s="54">
        <v>2.2891566265060699</v>
      </c>
      <c r="E11" s="54">
        <f t="shared" si="1"/>
        <v>1.1189930667840464E-2</v>
      </c>
      <c r="F11" s="54">
        <f t="shared" si="2"/>
        <v>5.037959249261327E-2</v>
      </c>
      <c r="G11" s="54">
        <v>3.2068590688919534E-2</v>
      </c>
      <c r="R11" s="54">
        <f t="shared" si="3"/>
        <v>0.43130498498451486</v>
      </c>
      <c r="S11" s="54">
        <f t="shared" si="4"/>
        <v>-0.15925520262865736</v>
      </c>
    </row>
    <row r="12" spans="1:21" x14ac:dyDescent="0.35">
      <c r="A12" s="54">
        <v>2004</v>
      </c>
      <c r="B12" s="54">
        <v>56.039916669999997</v>
      </c>
      <c r="C12" s="54">
        <v>2.6772366930917202</v>
      </c>
      <c r="D12" s="54">
        <v>4.8292108362779498</v>
      </c>
      <c r="E12" s="54">
        <f t="shared" si="1"/>
        <v>1.863854057226888E-4</v>
      </c>
      <c r="F12" s="54">
        <f t="shared" si="2"/>
        <v>3.3883217639375338E-2</v>
      </c>
      <c r="G12" s="54">
        <v>3.2862014042257477E-2</v>
      </c>
      <c r="H12" s="90" t="s">
        <v>355</v>
      </c>
      <c r="I12" s="90"/>
      <c r="R12" s="54">
        <f t="shared" si="3"/>
        <v>0.17935008204865871</v>
      </c>
      <c r="S12" s="54">
        <f t="shared" si="4"/>
        <v>1.1096026284792726</v>
      </c>
    </row>
    <row r="13" spans="1:21" x14ac:dyDescent="0.35">
      <c r="A13" s="54">
        <v>2005</v>
      </c>
      <c r="B13" s="54">
        <v>55.085491670000003</v>
      </c>
      <c r="C13" s="54">
        <v>3.3927468454955001</v>
      </c>
      <c r="D13" s="54">
        <v>6.51685393258433</v>
      </c>
      <c r="E13" s="54">
        <f t="shared" si="1"/>
        <v>2.0958629317407551E-2</v>
      </c>
      <c r="F13" s="54">
        <f t="shared" si="2"/>
        <v>-1.7031163797410293E-2</v>
      </c>
      <c r="G13" s="54">
        <v>3.136420737829955E-2</v>
      </c>
      <c r="H13" t="s">
        <v>356</v>
      </c>
      <c r="I13">
        <v>0.37063383057946303</v>
      </c>
      <c r="R13" s="54">
        <f t="shared" si="3"/>
        <v>0.26725696470919652</v>
      </c>
      <c r="S13" s="54">
        <f t="shared" si="4"/>
        <v>0.34946560701564</v>
      </c>
    </row>
    <row r="14" spans="1:21" x14ac:dyDescent="0.35">
      <c r="A14" s="54">
        <v>2006</v>
      </c>
      <c r="B14" s="54">
        <v>51.314272500000001</v>
      </c>
      <c r="C14" s="54">
        <v>3.2259441007040599</v>
      </c>
      <c r="D14" s="54">
        <v>5.4852320675105002</v>
      </c>
      <c r="E14" s="54">
        <f t="shared" si="1"/>
        <v>3.0215921158931014E-2</v>
      </c>
      <c r="F14" s="54">
        <f t="shared" si="2"/>
        <v>-6.8461205585532384E-2</v>
      </c>
      <c r="G14" s="54">
        <v>3.0696699646858096E-2</v>
      </c>
      <c r="H14" t="s">
        <v>357</v>
      </c>
      <c r="I14">
        <v>0.13736943637000612</v>
      </c>
      <c r="R14" s="54">
        <f t="shared" si="3"/>
        <v>-4.9164512528514094E-2</v>
      </c>
      <c r="S14" s="54">
        <f t="shared" si="4"/>
        <v>-0.15830059653718967</v>
      </c>
      <c r="T14">
        <f>C13/C12-1</f>
        <v>0.26725696470919647</v>
      </c>
      <c r="U14">
        <f>D13/D12-1</f>
        <v>0.34946560701564011</v>
      </c>
    </row>
    <row r="15" spans="1:21" x14ac:dyDescent="0.35">
      <c r="A15" s="54">
        <v>2007</v>
      </c>
      <c r="B15" s="54">
        <v>46.148391179999997</v>
      </c>
      <c r="C15" s="54">
        <v>2.8526724815013602</v>
      </c>
      <c r="D15" s="54">
        <v>2.9000000000000301</v>
      </c>
      <c r="E15" s="54">
        <f t="shared" si="1"/>
        <v>2.1886822992893462E-2</v>
      </c>
      <c r="F15" s="54">
        <f t="shared" si="2"/>
        <v>-0.10067143249473144</v>
      </c>
      <c r="G15" s="54">
        <v>3.1297278900158369E-2</v>
      </c>
      <c r="H15" t="s">
        <v>358</v>
      </c>
      <c r="I15">
        <v>9.6291790482863557E-2</v>
      </c>
      <c r="R15" s="54">
        <f t="shared" si="3"/>
        <v>-0.11570926449755699</v>
      </c>
      <c r="S15" s="54">
        <f t="shared" si="4"/>
        <v>-0.47130769230768216</v>
      </c>
      <c r="T15">
        <f>C14/C13-1</f>
        <v>-4.9164512528514059E-2</v>
      </c>
      <c r="U15">
        <f>D14/D13-1</f>
        <v>-0.15830059653718964</v>
      </c>
    </row>
    <row r="16" spans="1:21" x14ac:dyDescent="0.35">
      <c r="A16" s="54">
        <v>2008</v>
      </c>
      <c r="B16" s="54">
        <v>44.323287610000001</v>
      </c>
      <c r="C16" s="54">
        <v>3.83910029665096</v>
      </c>
      <c r="D16" s="54">
        <v>8.2604470359572506</v>
      </c>
      <c r="E16" s="54">
        <f t="shared" si="1"/>
        <v>4.6014865104448965E-4</v>
      </c>
      <c r="F16" s="54">
        <f t="shared" si="2"/>
        <v>-3.9548584974094782E-2</v>
      </c>
      <c r="G16" s="54">
        <v>3.2842274026930629E-2</v>
      </c>
      <c r="H16" t="s">
        <v>359</v>
      </c>
      <c r="I16">
        <v>4.7491690597387885E-2</v>
      </c>
      <c r="R16" s="54">
        <f t="shared" si="3"/>
        <v>0.34579077042536732</v>
      </c>
      <c r="S16" s="54">
        <f t="shared" si="4"/>
        <v>1.8484300123990223</v>
      </c>
      <c r="T16">
        <f t="shared" ref="T16:T19" si="6">C15/C14-1</f>
        <v>-0.11570926449755703</v>
      </c>
      <c r="U16">
        <f>D15/D14-1</f>
        <v>-0.47130769230768221</v>
      </c>
    </row>
    <row r="17" spans="1:22" ht="15" thickBot="1" x14ac:dyDescent="0.4">
      <c r="A17" s="54">
        <v>2009</v>
      </c>
      <c r="B17" s="54">
        <v>47.67968845</v>
      </c>
      <c r="C17" s="54">
        <v>-0.35554626629971697</v>
      </c>
      <c r="D17" s="54">
        <v>4.2190305206462799</v>
      </c>
      <c r="E17" s="54">
        <f t="shared" si="1"/>
        <v>4.2578823648079078E-2</v>
      </c>
      <c r="F17" s="54">
        <f t="shared" si="2"/>
        <v>7.5725448652025185E-2</v>
      </c>
      <c r="G17" s="54">
        <v>2.9805258268986942E-2</v>
      </c>
      <c r="H17" s="88" t="s">
        <v>360</v>
      </c>
      <c r="I17" s="88">
        <v>23</v>
      </c>
      <c r="R17" s="54">
        <f t="shared" si="3"/>
        <v>-1.0926118722685827</v>
      </c>
      <c r="S17" s="54">
        <f t="shared" si="4"/>
        <v>-0.48924912873588039</v>
      </c>
      <c r="T17">
        <f t="shared" si="6"/>
        <v>0.34579077042536732</v>
      </c>
      <c r="U17">
        <f>D16/D15-1</f>
        <v>1.8484300123990223</v>
      </c>
    </row>
    <row r="18" spans="1:22" x14ac:dyDescent="0.35">
      <c r="A18" s="54">
        <v>2010</v>
      </c>
      <c r="B18" s="54">
        <v>45.109664180000003</v>
      </c>
      <c r="C18" s="54">
        <v>1.64004344238988</v>
      </c>
      <c r="D18" s="54">
        <v>3.7898363479759101</v>
      </c>
      <c r="E18" s="54">
        <f t="shared" si="1"/>
        <v>4.5908995589172941E-2</v>
      </c>
      <c r="F18" s="54">
        <f t="shared" si="2"/>
        <v>-5.3901867934709573E-2</v>
      </c>
      <c r="G18" s="54">
        <v>2.9565132370855625E-2</v>
      </c>
      <c r="R18" s="54">
        <f t="shared" si="3"/>
        <v>-5.6127426943849912</v>
      </c>
      <c r="S18" s="54">
        <f t="shared" si="4"/>
        <v>-0.10172815071378649</v>
      </c>
      <c r="T18">
        <f t="shared" si="6"/>
        <v>-1.0926118722685827</v>
      </c>
      <c r="U18">
        <f>D17/D16-1</f>
        <v>-0.48924912873588045</v>
      </c>
    </row>
    <row r="19" spans="1:22" ht="15" thickBot="1" x14ac:dyDescent="0.4">
      <c r="A19" s="54">
        <v>2011</v>
      </c>
      <c r="B19" s="54">
        <v>43.230416666666663</v>
      </c>
      <c r="C19" s="54">
        <v>3.1568415686220201</v>
      </c>
      <c r="D19" s="54">
        <v>4.7184170471842002</v>
      </c>
      <c r="E19" s="54">
        <f t="shared" si="1"/>
        <v>2.1151042765979788E-2</v>
      </c>
      <c r="F19" s="54">
        <f t="shared" si="2"/>
        <v>-4.1659532330691355E-2</v>
      </c>
      <c r="G19" s="54">
        <v>3.1350333184123322E-2</v>
      </c>
      <c r="H19" t="s">
        <v>361</v>
      </c>
      <c r="R19" s="54">
        <f t="shared" si="3"/>
        <v>0.9248524075812613</v>
      </c>
      <c r="S19" s="54">
        <f t="shared" si="4"/>
        <v>0.2450186799501857</v>
      </c>
      <c r="T19">
        <f t="shared" si="6"/>
        <v>-5.6127426943849912</v>
      </c>
      <c r="U19">
        <f>D18/D17-1</f>
        <v>-0.10172815071378649</v>
      </c>
    </row>
    <row r="20" spans="1:22" x14ac:dyDescent="0.35">
      <c r="A20" s="54">
        <v>2012</v>
      </c>
      <c r="B20" s="54">
        <v>42.013750000000002</v>
      </c>
      <c r="C20" s="54">
        <v>2.0693372652605699</v>
      </c>
      <c r="D20" s="54">
        <v>3.02696391124796</v>
      </c>
      <c r="E20" s="54">
        <f t="shared" si="1"/>
        <v>1.5137876022729868E-2</v>
      </c>
      <c r="F20" s="54">
        <f t="shared" si="2"/>
        <v>-2.8143764517652384E-2</v>
      </c>
      <c r="G20" s="54">
        <v>3.1783919524521698E-2</v>
      </c>
      <c r="H20" s="89"/>
      <c r="I20" s="89" t="s">
        <v>362</v>
      </c>
      <c r="J20" s="89" t="s">
        <v>288</v>
      </c>
      <c r="K20" s="89" t="s">
        <v>363</v>
      </c>
      <c r="L20" s="89" t="s">
        <v>364</v>
      </c>
      <c r="M20" s="89" t="s">
        <v>365</v>
      </c>
      <c r="R20" s="54">
        <f t="shared" si="3"/>
        <v>-0.34449125168994532</v>
      </c>
      <c r="S20" s="54">
        <f t="shared" si="4"/>
        <v>-0.35847893880971055</v>
      </c>
    </row>
    <row r="21" spans="1:22" x14ac:dyDescent="0.35">
      <c r="A21" s="54">
        <v>2013</v>
      </c>
      <c r="B21" s="54">
        <v>42.602916666666665</v>
      </c>
      <c r="C21" s="54">
        <v>1.46483265562717</v>
      </c>
      <c r="D21" s="54">
        <v>2.5826876614179501</v>
      </c>
      <c r="E21" s="54">
        <f t="shared" si="1"/>
        <v>9.3821187796947481E-3</v>
      </c>
      <c r="F21" s="54">
        <f t="shared" si="2"/>
        <v>1.402318685351019E-2</v>
      </c>
      <c r="G21" s="54">
        <v>3.2198945055292243E-2</v>
      </c>
      <c r="H21" t="s">
        <v>366</v>
      </c>
      <c r="I21">
        <v>1</v>
      </c>
      <c r="J21">
        <v>7.5425783317847189E-3</v>
      </c>
      <c r="K21">
        <v>7.5425783317847189E-3</v>
      </c>
      <c r="L21">
        <v>3.3441409166293821</v>
      </c>
      <c r="M21">
        <v>8.1684242529702605E-2</v>
      </c>
      <c r="R21" s="54">
        <f t="shared" si="3"/>
        <v>-0.29212473953939111</v>
      </c>
      <c r="S21" s="54">
        <f t="shared" si="4"/>
        <v>-0.14677289285779532</v>
      </c>
    </row>
    <row r="22" spans="1:22" x14ac:dyDescent="0.35">
      <c r="A22" s="54">
        <v>2014</v>
      </c>
      <c r="B22" s="54">
        <v>44.452583333333337</v>
      </c>
      <c r="C22" s="54">
        <v>1.6222229774082699</v>
      </c>
      <c r="D22" s="54">
        <v>3.5978234386421102</v>
      </c>
      <c r="E22" s="54">
        <f t="shared" si="1"/>
        <v>1.1017166997996153E-2</v>
      </c>
      <c r="F22" s="54">
        <f t="shared" si="2"/>
        <v>4.3416432755973386E-2</v>
      </c>
      <c r="G22" s="54">
        <v>3.2081048013081662E-2</v>
      </c>
      <c r="H22" t="s">
        <v>367</v>
      </c>
      <c r="I22">
        <v>21</v>
      </c>
      <c r="J22">
        <v>4.7364674191758438E-2</v>
      </c>
      <c r="K22">
        <v>2.2554606757980208E-3</v>
      </c>
      <c r="R22" s="54">
        <f t="shared" si="3"/>
        <v>0.10744594010550169</v>
      </c>
      <c r="S22" s="54">
        <f t="shared" si="4"/>
        <v>0.39305402367812026</v>
      </c>
    </row>
    <row r="23" spans="1:22" ht="15" thickBot="1" x14ac:dyDescent="0.4">
      <c r="A23" s="54">
        <v>2015</v>
      </c>
      <c r="B23" s="54">
        <v>45.572249999999997</v>
      </c>
      <c r="C23" s="54">
        <v>0.118627135552451</v>
      </c>
      <c r="D23" s="54">
        <v>0.67419253684540803</v>
      </c>
      <c r="E23" s="54">
        <f t="shared" si="1"/>
        <v>1.9440634177753102E-2</v>
      </c>
      <c r="F23" s="54">
        <f t="shared" si="2"/>
        <v>2.5187887468107253E-2</v>
      </c>
      <c r="G23" s="54">
        <v>3.1473664172938433E-2</v>
      </c>
      <c r="H23" s="88" t="s">
        <v>99</v>
      </c>
      <c r="I23" s="88">
        <v>22</v>
      </c>
      <c r="J23" s="88">
        <v>5.4907252523543157E-2</v>
      </c>
      <c r="K23" s="88"/>
      <c r="L23" s="88"/>
      <c r="M23" s="88"/>
      <c r="R23" s="54">
        <f t="shared" si="3"/>
        <v>-0.92687371760571735</v>
      </c>
      <c r="S23" s="54">
        <f t="shared" si="4"/>
        <v>-0.81261099986055418</v>
      </c>
    </row>
    <row r="24" spans="1:22" ht="15" thickBot="1" x14ac:dyDescent="0.4">
      <c r="A24" s="54">
        <v>2016</v>
      </c>
      <c r="B24" s="54">
        <v>47.630416666666669</v>
      </c>
      <c r="C24" s="54">
        <v>1.26158320570527</v>
      </c>
      <c r="D24" s="54">
        <v>1.25369880080982</v>
      </c>
      <c r="E24" s="54">
        <f t="shared" si="1"/>
        <v>5.5490713085863952E-3</v>
      </c>
      <c r="F24" s="54">
        <f t="shared" si="2"/>
        <v>4.5162717808900639E-2</v>
      </c>
      <c r="G24" s="54">
        <v>3.2475331374936009E-2</v>
      </c>
      <c r="R24" s="54">
        <f t="shared" si="3"/>
        <v>9.634861912748967</v>
      </c>
      <c r="S24" s="54">
        <f t="shared" si="4"/>
        <v>0.85955603524767643</v>
      </c>
    </row>
    <row r="25" spans="1:22" x14ac:dyDescent="0.35">
      <c r="A25" s="54">
        <v>2017</v>
      </c>
      <c r="B25" s="54">
        <v>50.412416666666665</v>
      </c>
      <c r="C25" s="54">
        <v>2.1301100036598002</v>
      </c>
      <c r="D25" s="54">
        <v>2.85318772590947</v>
      </c>
      <c r="E25" s="54">
        <f t="shared" si="1"/>
        <v>-7.7861758090769229E-5</v>
      </c>
      <c r="F25" s="54">
        <f t="shared" si="2"/>
        <v>5.8408055076850325E-2</v>
      </c>
      <c r="G25" s="54">
        <v>3.2881067889524752E-2</v>
      </c>
      <c r="H25" s="89"/>
      <c r="I25" s="89" t="s">
        <v>368</v>
      </c>
      <c r="J25" s="89" t="s">
        <v>359</v>
      </c>
      <c r="K25" s="89" t="s">
        <v>369</v>
      </c>
      <c r="L25" s="89" t="s">
        <v>370</v>
      </c>
      <c r="M25" s="89" t="s">
        <v>371</v>
      </c>
      <c r="N25" s="89" t="s">
        <v>372</v>
      </c>
      <c r="O25" s="89" t="s">
        <v>373</v>
      </c>
      <c r="P25" s="89" t="s">
        <v>374</v>
      </c>
      <c r="Q25" s="365"/>
      <c r="R25" s="54">
        <f t="shared" si="3"/>
        <v>0.68844194661658697</v>
      </c>
      <c r="S25" s="54">
        <f t="shared" si="4"/>
        <v>1.2758159488279552</v>
      </c>
    </row>
    <row r="26" spans="1:22" x14ac:dyDescent="0.35">
      <c r="A26" s="54">
        <v>2018</v>
      </c>
      <c r="B26" s="54">
        <v>52.638666666666666</v>
      </c>
      <c r="C26" s="54">
        <v>2.4425832969280701</v>
      </c>
      <c r="D26" s="54">
        <v>5.3093466162770699</v>
      </c>
      <c r="E26" s="54">
        <f t="shared" si="1"/>
        <v>7.0799661551699256E-3</v>
      </c>
      <c r="F26" s="54">
        <f t="shared" si="2"/>
        <v>4.4160747434907742E-2</v>
      </c>
      <c r="G26" s="54">
        <v>3.2364944432014459E-2</v>
      </c>
      <c r="H26" t="s">
        <v>375</v>
      </c>
      <c r="I26">
        <v>2.3288243757039983E-2</v>
      </c>
      <c r="J26">
        <v>1.362874159392845E-2</v>
      </c>
      <c r="K26">
        <v>1.7087596530126306</v>
      </c>
      <c r="L26">
        <v>0.10223523667824769</v>
      </c>
      <c r="M26">
        <v>-5.0542759479096089E-3</v>
      </c>
      <c r="N26">
        <v>5.1630763461989575E-2</v>
      </c>
      <c r="O26">
        <v>-5.0542759479096089E-3</v>
      </c>
      <c r="P26">
        <v>5.1630763461989575E-2</v>
      </c>
      <c r="R26" s="54">
        <f t="shared" si="3"/>
        <v>0.14669350067902642</v>
      </c>
      <c r="S26" s="54">
        <f t="shared" si="4"/>
        <v>0.86084727901480274</v>
      </c>
    </row>
    <row r="27" spans="1:22" ht="15" thickBot="1" x14ac:dyDescent="0.4">
      <c r="A27" s="54">
        <v>2019</v>
      </c>
      <c r="B27" s="54">
        <v>51.570833333333347</v>
      </c>
      <c r="C27" s="54">
        <v>1.81221007526012</v>
      </c>
      <c r="D27" s="54">
        <v>2.39206534422404</v>
      </c>
      <c r="E27" s="54">
        <f t="shared" si="1"/>
        <v>2.798409828303261E-2</v>
      </c>
      <c r="F27" s="54">
        <f t="shared" si="2"/>
        <v>-2.0286101471668202E-2</v>
      </c>
      <c r="G27" s="54">
        <v>3.08576278157409E-2</v>
      </c>
      <c r="H27" s="88" t="s">
        <v>376</v>
      </c>
      <c r="I27" s="88">
        <v>-1.2230231544240213</v>
      </c>
      <c r="J27" s="88">
        <v>0.66879404033690515</v>
      </c>
      <c r="K27" s="88">
        <v>-1.8286992417096348</v>
      </c>
      <c r="L27" s="88">
        <v>8.16842425297023E-2</v>
      </c>
      <c r="M27" s="88">
        <v>-2.6138564999800118</v>
      </c>
      <c r="N27" s="88">
        <v>0.16781019113196916</v>
      </c>
      <c r="O27" s="88">
        <v>-2.6138564999800118</v>
      </c>
      <c r="P27" s="364">
        <v>0.16781019113196916</v>
      </c>
      <c r="Q27" s="366"/>
      <c r="R27" s="54">
        <f t="shared" si="3"/>
        <v>-0.25807644818530562</v>
      </c>
      <c r="S27" s="54">
        <f t="shared" si="4"/>
        <v>-0.54946144655717288</v>
      </c>
    </row>
    <row r="28" spans="1:22" x14ac:dyDescent="0.35">
      <c r="A28" s="54">
        <v>2020</v>
      </c>
      <c r="B28" s="54">
        <v>49.518333333333338</v>
      </c>
      <c r="C28" s="54">
        <v>1.2335843963063799</v>
      </c>
      <c r="D28" s="54">
        <v>2.3931623931624002</v>
      </c>
      <c r="E28" s="54">
        <f t="shared" si="1"/>
        <v>5.695341143614252E-3</v>
      </c>
      <c r="F28" s="54">
        <f t="shared" si="2"/>
        <v>-3.9799628342894244E-2</v>
      </c>
      <c r="G28" s="54">
        <v>3.2464784419365282E-2</v>
      </c>
      <c r="H28" s="30"/>
      <c r="I28" s="30"/>
      <c r="J28" s="30"/>
      <c r="K28" s="30"/>
      <c r="L28" s="30"/>
      <c r="M28" s="30"/>
      <c r="R28" s="54">
        <f t="shared" si="3"/>
        <v>-0.31929282749997162</v>
      </c>
      <c r="S28" s="54">
        <f t="shared" si="4"/>
        <v>4.5861997081690403E-4</v>
      </c>
      <c r="T28" s="30">
        <f>AVERAGE(F4:F32)</f>
        <v>3.1494768037146369E-2</v>
      </c>
    </row>
    <row r="29" spans="1:22" x14ac:dyDescent="0.35">
      <c r="A29" s="54">
        <v>2021</v>
      </c>
      <c r="B29" s="54">
        <v>49.384000000000007</v>
      </c>
      <c r="C29" s="54">
        <v>4.6978588636374203</v>
      </c>
      <c r="D29" s="54">
        <v>3.92718022100332</v>
      </c>
      <c r="E29" s="54">
        <f t="shared" si="1"/>
        <v>1.1454479299246589E-2</v>
      </c>
      <c r="F29" s="54">
        <f t="shared" si="2"/>
        <v>-2.7127999730738889E-3</v>
      </c>
      <c r="G29" s="54">
        <v>3.2049515103982934E-2</v>
      </c>
      <c r="R29" s="54">
        <f t="shared" si="3"/>
        <v>2.8082995194360691</v>
      </c>
      <c r="S29" s="54">
        <f t="shared" si="4"/>
        <v>0.64100030663352525</v>
      </c>
    </row>
    <row r="30" spans="1:22" x14ac:dyDescent="0.35">
      <c r="A30" s="54">
        <v>2022</v>
      </c>
      <c r="B30" s="54">
        <v>54.521666666666675</v>
      </c>
      <c r="C30" s="54">
        <v>8.0027998205212096</v>
      </c>
      <c r="D30" s="54">
        <v>5.8211581121395497</v>
      </c>
      <c r="E30" s="54">
        <f t="shared" si="1"/>
        <v>-7.3609780658253632E-3</v>
      </c>
      <c r="F30" s="54">
        <f t="shared" si="2"/>
        <v>0.1040350450888277</v>
      </c>
      <c r="G30" s="54">
        <v>3.3406225411576049E-2</v>
      </c>
      <c r="R30" s="54">
        <f t="shared" si="3"/>
        <v>0.70349941384251513</v>
      </c>
      <c r="S30" s="54">
        <f t="shared" si="4"/>
        <v>0.48227424883810255</v>
      </c>
    </row>
    <row r="31" spans="1:22" x14ac:dyDescent="0.35">
      <c r="A31" s="54">
        <v>2023</v>
      </c>
      <c r="B31" s="54">
        <v>55.609666666666669</v>
      </c>
      <c r="C31" s="54">
        <v>4.1163383837448801</v>
      </c>
      <c r="D31" s="54">
        <v>5.9780251554140902</v>
      </c>
      <c r="E31" s="54">
        <f t="shared" si="1"/>
        <v>-2.0199862522148559E-2</v>
      </c>
      <c r="F31" s="54">
        <f t="shared" si="2"/>
        <v>1.995536942499912E-2</v>
      </c>
      <c r="G31" s="54">
        <v>3.4331988019516993E-2</v>
      </c>
      <c r="R31" s="54">
        <f t="shared" si="3"/>
        <v>-0.48563771729119803</v>
      </c>
      <c r="S31" s="54">
        <f t="shared" si="4"/>
        <v>2.6947737933351628E-2</v>
      </c>
    </row>
    <row r="32" spans="1:22" x14ac:dyDescent="0.35">
      <c r="A32" s="54">
        <v>2024</v>
      </c>
      <c r="B32" s="54">
        <v>57.149444444444399</v>
      </c>
      <c r="C32" s="54">
        <v>2.9</v>
      </c>
      <c r="D32" s="54">
        <v>3.3</v>
      </c>
      <c r="E32" s="54">
        <f t="shared" si="1"/>
        <v>1.7880832159190341E-2</v>
      </c>
      <c r="F32" s="54">
        <f t="shared" si="2"/>
        <v>2.7689030883918189E-2</v>
      </c>
      <c r="G32" s="54">
        <v>3.1586135500917795E-2</v>
      </c>
      <c r="R32" s="54">
        <f t="shared" si="3"/>
        <v>-0.29549037769783743</v>
      </c>
      <c r="S32" s="54">
        <f t="shared" si="4"/>
        <v>-0.44797823458281966</v>
      </c>
      <c r="V32" t="s">
        <v>377</v>
      </c>
    </row>
    <row r="33" spans="1:24" ht="15" thickBot="1" x14ac:dyDescent="0.4">
      <c r="A33" s="54">
        <v>2025</v>
      </c>
      <c r="B33" s="54">
        <f>B32*(1+G33)</f>
        <v>58.208653592278019</v>
      </c>
      <c r="C33" s="54">
        <v>2</v>
      </c>
      <c r="D33" s="54">
        <v>3.2157173222703084</v>
      </c>
      <c r="E33" s="54">
        <f t="shared" si="1"/>
        <v>3.8872691933915515E-3</v>
      </c>
      <c r="F33" s="54">
        <f t="shared" si="2"/>
        <v>1.8534023526043004E-2</v>
      </c>
      <c r="G33" s="54">
        <f t="shared" ref="G33:G39" si="7">E33*$I$27+$I$26</f>
        <v>1.8534023526042928E-2</v>
      </c>
    </row>
    <row r="34" spans="1:24" x14ac:dyDescent="0.35">
      <c r="A34" s="54">
        <v>2026</v>
      </c>
      <c r="B34" s="54">
        <f t="shared" ref="B34:B39" si="8">B33*(1+G34)</f>
        <v>58.715725397297938</v>
      </c>
      <c r="C34" s="54">
        <v>2</v>
      </c>
      <c r="D34" s="54">
        <v>3.1335872414391881</v>
      </c>
      <c r="E34" s="54">
        <f t="shared" si="1"/>
        <v>1.1918797277159943E-2</v>
      </c>
      <c r="F34" s="54">
        <f t="shared" si="2"/>
        <v>8.7112787141873926E-3</v>
      </c>
      <c r="G34" s="54">
        <f t="shared" si="7"/>
        <v>8.7112787141873944E-3</v>
      </c>
      <c r="R34" s="66">
        <f>AVERAGE(R4:R32)</f>
        <v>0.2173437792948808</v>
      </c>
      <c r="S34" s="66">
        <f>AVERAGE(S4:S32)</f>
        <v>0.13991407981915954</v>
      </c>
      <c r="V34" s="89" t="s">
        <v>378</v>
      </c>
      <c r="W34" s="89" t="s">
        <v>353</v>
      </c>
      <c r="X34" s="89" t="s">
        <v>379</v>
      </c>
    </row>
    <row r="35" spans="1:24" x14ac:dyDescent="0.35">
      <c r="A35" s="54">
        <v>2027</v>
      </c>
      <c r="B35" s="54">
        <f t="shared" si="8"/>
        <v>59.285036190384716</v>
      </c>
      <c r="C35" s="54">
        <v>2</v>
      </c>
      <c r="D35" s="54">
        <v>3.0535547797397662</v>
      </c>
      <c r="E35" s="54">
        <f t="shared" si="1"/>
        <v>1.1113600406266633E-2</v>
      </c>
      <c r="F35" s="54">
        <f t="shared" si="2"/>
        <v>9.6960531311596054E-3</v>
      </c>
      <c r="G35" s="54">
        <f t="shared" si="7"/>
        <v>9.6960531311596817E-3</v>
      </c>
      <c r="V35">
        <v>1</v>
      </c>
      <c r="W35">
        <v>-6.6768897644699857E-3</v>
      </c>
      <c r="X35">
        <v>1.865737459904912E-2</v>
      </c>
    </row>
    <row r="36" spans="1:24" x14ac:dyDescent="0.35">
      <c r="A36" s="54">
        <v>2028</v>
      </c>
      <c r="B36" s="54">
        <f t="shared" si="8"/>
        <v>59.916758339966151</v>
      </c>
      <c r="C36" s="54">
        <v>2</v>
      </c>
      <c r="D36" s="54">
        <v>2.9755663635486247</v>
      </c>
      <c r="E36" s="54">
        <f t="shared" si="1"/>
        <v>1.032896842882125E-2</v>
      </c>
      <c r="F36" s="54">
        <f t="shared" si="2"/>
        <v>1.0655676207276947E-2</v>
      </c>
      <c r="G36" s="54">
        <f t="shared" si="7"/>
        <v>1.0655676207276889E-2</v>
      </c>
      <c r="V36">
        <v>2</v>
      </c>
      <c r="W36">
        <v>9.6026994538716427E-3</v>
      </c>
      <c r="X36">
        <v>4.077689303874163E-2</v>
      </c>
    </row>
    <row r="37" spans="1:24" x14ac:dyDescent="0.35">
      <c r="A37" s="54">
        <v>2029</v>
      </c>
      <c r="B37" s="54">
        <f t="shared" si="8"/>
        <v>60.61124092211638</v>
      </c>
      <c r="C37" s="54">
        <v>2</v>
      </c>
      <c r="D37" s="54">
        <v>2.8995697875236912</v>
      </c>
      <c r="E37" s="54">
        <f t="shared" si="1"/>
        <v>9.5643761132218064E-3</v>
      </c>
      <c r="F37" s="54">
        <f t="shared" si="2"/>
        <v>1.1590790312949724E-2</v>
      </c>
      <c r="G37" s="54">
        <f t="shared" si="7"/>
        <v>1.1590790312949689E-2</v>
      </c>
      <c r="V37">
        <v>3</v>
      </c>
      <c r="W37">
        <v>2.3060290090194419E-2</v>
      </c>
      <c r="X37">
        <v>1.0822927549180919E-2</v>
      </c>
    </row>
    <row r="38" spans="1:24" x14ac:dyDescent="0.35">
      <c r="A38" s="54">
        <v>2030</v>
      </c>
      <c r="B38" s="54">
        <f t="shared" si="8"/>
        <v>61.369003953951783</v>
      </c>
      <c r="C38" s="54">
        <v>2</v>
      </c>
      <c r="D38" s="54">
        <v>2.8255141796580516</v>
      </c>
      <c r="E38" s="54">
        <f t="shared" si="1"/>
        <v>8.8193116423889162E-3</v>
      </c>
      <c r="F38" s="54">
        <f t="shared" si="2"/>
        <v>1.2502021412316986E-2</v>
      </c>
      <c r="G38" s="54">
        <f t="shared" si="7"/>
        <v>1.2502021412316995E-2</v>
      </c>
      <c r="V38">
        <v>4</v>
      </c>
      <c r="W38">
        <v>-2.3446451831395723E-3</v>
      </c>
      <c r="X38">
        <v>-1.468651861427072E-2</v>
      </c>
    </row>
    <row r="39" spans="1:24" x14ac:dyDescent="0.35">
      <c r="A39" s="54">
        <v>2031</v>
      </c>
      <c r="B39" s="54">
        <f t="shared" si="8"/>
        <v>62.190733657742179</v>
      </c>
      <c r="C39" s="54">
        <v>2</v>
      </c>
      <c r="D39" s="54">
        <v>2.753349967226296</v>
      </c>
      <c r="E39" s="54">
        <f t="shared" si="1"/>
        <v>8.0932762711574124E-3</v>
      </c>
      <c r="F39" s="54">
        <f t="shared" si="2"/>
        <v>1.3389979482264057E-2</v>
      </c>
      <c r="G39" s="54">
        <f t="shared" si="7"/>
        <v>1.3389979482263963E-2</v>
      </c>
      <c r="V39">
        <v>5</v>
      </c>
      <c r="W39">
        <v>-1.3666527452583354E-2</v>
      </c>
      <c r="X39">
        <v>-5.4794678132949026E-2</v>
      </c>
    </row>
    <row r="40" spans="1:24" x14ac:dyDescent="0.35">
      <c r="V40">
        <v>6</v>
      </c>
      <c r="W40">
        <v>-3.4798475400487777E-3</v>
      </c>
      <c r="X40">
        <v>-9.7191584954682664E-2</v>
      </c>
    </row>
    <row r="41" spans="1:24" x14ac:dyDescent="0.35">
      <c r="V41">
        <v>7</v>
      </c>
      <c r="W41">
        <v>2.2725471302335595E-2</v>
      </c>
      <c r="X41">
        <v>-6.2274056276430373E-2</v>
      </c>
    </row>
    <row r="42" spans="1:24" x14ac:dyDescent="0.35">
      <c r="V42">
        <v>8</v>
      </c>
      <c r="W42">
        <v>-2.8786643452697807E-2</v>
      </c>
      <c r="X42">
        <v>0.104512092104723</v>
      </c>
    </row>
    <row r="43" spans="1:24" x14ac:dyDescent="0.35">
      <c r="V43">
        <v>9</v>
      </c>
      <c r="W43">
        <v>-3.2859520844868789E-2</v>
      </c>
      <c r="X43">
        <v>-2.1042347089840784E-2</v>
      </c>
    </row>
    <row r="44" spans="1:24" x14ac:dyDescent="0.35">
      <c r="V44">
        <v>10</v>
      </c>
      <c r="W44">
        <v>-2.5799712859659943E-3</v>
      </c>
      <c r="X44">
        <v>-3.9079561044725361E-2</v>
      </c>
    </row>
    <row r="45" spans="1:24" x14ac:dyDescent="0.35">
      <c r="V45">
        <v>11</v>
      </c>
      <c r="W45">
        <v>4.7742708724411408E-3</v>
      </c>
      <c r="X45">
        <v>-3.2918035390093525E-2</v>
      </c>
    </row>
    <row r="46" spans="1:24" x14ac:dyDescent="0.35">
      <c r="V46">
        <v>12</v>
      </c>
      <c r="W46">
        <v>1.1813695251916863E-2</v>
      </c>
      <c r="X46">
        <v>2.2094916015933264E-3</v>
      </c>
    </row>
    <row r="47" spans="1:24" x14ac:dyDescent="0.35">
      <c r="V47">
        <v>13</v>
      </c>
      <c r="W47">
        <v>9.8139934223345025E-3</v>
      </c>
      <c r="X47">
        <v>3.3602439333638885E-2</v>
      </c>
    </row>
    <row r="48" spans="1:24" x14ac:dyDescent="0.35">
      <c r="D48">
        <f>D33/D32-1</f>
        <v>-2.5540205372633795E-2</v>
      </c>
      <c r="V48">
        <v>14</v>
      </c>
      <c r="W48">
        <v>-4.8810197903905589E-4</v>
      </c>
      <c r="X48">
        <v>2.5675989447146309E-2</v>
      </c>
    </row>
    <row r="49" spans="1:24" x14ac:dyDescent="0.35">
      <c r="D49" s="30">
        <f>AVERAGE(J4:J9)</f>
        <v>1.1948307217322282E-2</v>
      </c>
      <c r="F49">
        <v>3.2157173222703082E-2</v>
      </c>
      <c r="G49">
        <v>3.1335872414391883E-2</v>
      </c>
      <c r="H49">
        <v>2.8255141796580518E-2</v>
      </c>
      <c r="N49">
        <v>2.753349967226296E-2</v>
      </c>
      <c r="P49">
        <v>3.0535547797397661E-2</v>
      </c>
      <c r="R49">
        <v>2.9755663635486245E-2</v>
      </c>
      <c r="S49">
        <v>2.8995697875236912E-2</v>
      </c>
      <c r="T49">
        <v>2.8255141796580518E-2</v>
      </c>
      <c r="U49">
        <v>2.753349967226296E-2</v>
      </c>
      <c r="V49">
        <v>15</v>
      </c>
      <c r="W49">
        <v>1.6501601061088819E-2</v>
      </c>
      <c r="X49">
        <v>2.866111674781182E-2</v>
      </c>
    </row>
    <row r="50" spans="1:24" x14ac:dyDescent="0.35">
      <c r="F50">
        <f>F49*100</f>
        <v>3.2157173222703084</v>
      </c>
      <c r="G50">
        <f t="shared" ref="G50:T50" si="9">G49*100</f>
        <v>3.1335872414391881</v>
      </c>
      <c r="H50">
        <f t="shared" ref="H50" si="10">H49*100</f>
        <v>2.8255141796580516</v>
      </c>
      <c r="N50">
        <f>N49*100</f>
        <v>2.753349967226296</v>
      </c>
      <c r="P50">
        <f t="shared" si="9"/>
        <v>3.0535547797397662</v>
      </c>
      <c r="R50">
        <f t="shared" si="9"/>
        <v>2.9755663635486247</v>
      </c>
      <c r="S50">
        <f t="shared" si="9"/>
        <v>2.8995697875236912</v>
      </c>
      <c r="T50">
        <f t="shared" si="9"/>
        <v>2.8255141796580516</v>
      </c>
      <c r="U50">
        <f>U49*100</f>
        <v>2.753349967226296</v>
      </c>
      <c r="V50">
        <v>16</v>
      </c>
      <c r="W50">
        <v>2.3383470490029156E-2</v>
      </c>
      <c r="X50">
        <v>3.5024584586821172E-2</v>
      </c>
    </row>
    <row r="51" spans="1:24" x14ac:dyDescent="0.35">
      <c r="F51">
        <v>3.2157173222703084</v>
      </c>
      <c r="G51">
        <v>3.1335872414391881</v>
      </c>
      <c r="H51">
        <v>2.8255141796580516</v>
      </c>
      <c r="N51">
        <v>2.753349967226296</v>
      </c>
      <c r="P51">
        <v>3.0535547797397662</v>
      </c>
      <c r="R51">
        <v>2.9755663635486247</v>
      </c>
      <c r="S51">
        <v>2.8995697875236912</v>
      </c>
      <c r="T51">
        <v>2.8255141796580516</v>
      </c>
      <c r="U51">
        <v>2.753349967226296</v>
      </c>
      <c r="V51">
        <v>17</v>
      </c>
      <c r="W51">
        <v>1.462928121672875E-2</v>
      </c>
      <c r="X51">
        <v>2.9531466218178992E-2</v>
      </c>
    </row>
    <row r="52" spans="1:24" ht="23.25" customHeight="1" x14ac:dyDescent="0.35">
      <c r="F52" s="420" t="s">
        <v>1</v>
      </c>
      <c r="G52" s="420" t="s">
        <v>381</v>
      </c>
      <c r="H52" s="420"/>
      <c r="I52" s="420"/>
      <c r="J52" s="420"/>
      <c r="K52" s="420"/>
      <c r="L52" s="420"/>
      <c r="M52" s="420"/>
      <c r="N52" s="420"/>
      <c r="O52" s="420"/>
      <c r="P52" s="420"/>
      <c r="Q52" s="182"/>
      <c r="V52">
        <v>18</v>
      </c>
      <c r="W52">
        <v>-1.0936956398786401E-2</v>
      </c>
      <c r="X52">
        <v>-9.349145072881801E-3</v>
      </c>
    </row>
    <row r="53" spans="1:24" ht="23.25" customHeight="1" x14ac:dyDescent="0.35">
      <c r="F53" s="420"/>
      <c r="G53" s="99" t="s">
        <v>383</v>
      </c>
      <c r="O53" s="99"/>
      <c r="P53" s="99" t="s">
        <v>270</v>
      </c>
      <c r="Q53" s="182"/>
      <c r="V53">
        <v>19</v>
      </c>
      <c r="W53">
        <v>1.6322709666055969E-2</v>
      </c>
      <c r="X53">
        <v>-5.6122338008950209E-2</v>
      </c>
    </row>
    <row r="54" spans="1:24" ht="23.25" customHeight="1" x14ac:dyDescent="0.35">
      <c r="F54" s="96" t="s">
        <v>385</v>
      </c>
      <c r="G54" s="97">
        <v>0.02</v>
      </c>
      <c r="O54" s="97"/>
      <c r="P54" s="97">
        <v>0.03</v>
      </c>
      <c r="Q54" s="261"/>
      <c r="V54">
        <v>20</v>
      </c>
      <c r="W54">
        <v>9.279150352190766E-3</v>
      </c>
      <c r="X54">
        <v>-1.1991950325264655E-2</v>
      </c>
    </row>
    <row r="55" spans="1:24" ht="66" customHeight="1" x14ac:dyDescent="0.35">
      <c r="A55" t="s">
        <v>386</v>
      </c>
      <c r="B55" s="94">
        <f>B39</f>
        <v>62.190733657742179</v>
      </c>
      <c r="C55">
        <f>B55/I9-1</f>
        <v>1.3389979482264058E-2</v>
      </c>
      <c r="D55" s="318">
        <f>AVERAGE(D33:D39)</f>
        <v>2.9795513773437037</v>
      </c>
      <c r="F55" s="96" t="s">
        <v>387</v>
      </c>
      <c r="G55" s="98" t="s">
        <v>388</v>
      </c>
      <c r="O55" s="98"/>
      <c r="P55" s="98" t="s">
        <v>389</v>
      </c>
      <c r="Q55" s="367"/>
      <c r="V55">
        <v>21</v>
      </c>
      <c r="W55">
        <v>3.2290890370751751E-2</v>
      </c>
      <c r="X55">
        <v>7.174415471807595E-2</v>
      </c>
    </row>
    <row r="56" spans="1:24" ht="23.25" customHeight="1" x14ac:dyDescent="0.35">
      <c r="D56">
        <f>AVERAGE(E57:E62)</f>
        <v>6.2616666666666667</v>
      </c>
      <c r="F56" s="96" t="s">
        <v>390</v>
      </c>
      <c r="G56" s="421" t="s">
        <v>391</v>
      </c>
      <c r="H56" s="421"/>
      <c r="I56" s="421"/>
      <c r="J56" s="421"/>
      <c r="K56" s="421"/>
      <c r="L56" s="421"/>
      <c r="M56" s="421"/>
      <c r="N56" s="421"/>
      <c r="O56" s="421"/>
      <c r="P56" s="421"/>
      <c r="Q56" s="177"/>
      <c r="V56">
        <v>22</v>
      </c>
      <c r="W56">
        <v>4.7993143337809685E-2</v>
      </c>
      <c r="X56">
        <v>-2.8037773912810565E-2</v>
      </c>
    </row>
    <row r="57" spans="1:24" ht="15" thickBot="1" x14ac:dyDescent="0.4">
      <c r="D57" s="94">
        <f>AVERAGE(D55:D56)</f>
        <v>4.6206090220051852</v>
      </c>
      <c r="E57">
        <v>6.16</v>
      </c>
      <c r="V57" s="88">
        <v>23</v>
      </c>
      <c r="W57" s="88">
        <v>1.4195720059805295E-3</v>
      </c>
      <c r="X57" s="88">
        <v>2.6269458877938554E-2</v>
      </c>
    </row>
    <row r="58" spans="1:24" x14ac:dyDescent="0.35">
      <c r="E58">
        <v>6.18</v>
      </c>
    </row>
    <row r="59" spans="1:24" x14ac:dyDescent="0.35">
      <c r="E59">
        <v>6.19</v>
      </c>
      <c r="G59">
        <v>58.208653592278068</v>
      </c>
    </row>
    <row r="60" spans="1:24" x14ac:dyDescent="0.35">
      <c r="E60">
        <v>6.32</v>
      </c>
      <c r="G60">
        <v>58.715725397297987</v>
      </c>
      <c r="W60" t="s">
        <v>354</v>
      </c>
    </row>
    <row r="61" spans="1:24" ht="15" thickBot="1" x14ac:dyDescent="0.4">
      <c r="E61">
        <v>6.32</v>
      </c>
      <c r="G61">
        <v>59.285036190384766</v>
      </c>
    </row>
    <row r="62" spans="1:24" x14ac:dyDescent="0.35">
      <c r="E62">
        <v>6.4</v>
      </c>
      <c r="G62">
        <v>59.916758339966201</v>
      </c>
      <c r="W62" s="90" t="s">
        <v>355</v>
      </c>
      <c r="X62" s="90"/>
    </row>
    <row r="63" spans="1:24" x14ac:dyDescent="0.35">
      <c r="G63">
        <v>60.61124092211643</v>
      </c>
      <c r="W63" t="s">
        <v>356</v>
      </c>
      <c r="X63">
        <v>1.5231079929730678E-2</v>
      </c>
    </row>
    <row r="64" spans="1:24" x14ac:dyDescent="0.35">
      <c r="G64">
        <v>61.369003953951839</v>
      </c>
      <c r="W64" t="s">
        <v>357</v>
      </c>
      <c r="X64">
        <v>2.3198579582584466E-4</v>
      </c>
    </row>
    <row r="65" spans="7:39" x14ac:dyDescent="0.35">
      <c r="G65">
        <v>62.190733657742236</v>
      </c>
      <c r="W65" t="s">
        <v>358</v>
      </c>
      <c r="X65">
        <v>-3.6796459174699127E-2</v>
      </c>
    </row>
    <row r="66" spans="7:39" x14ac:dyDescent="0.35">
      <c r="W66" t="s">
        <v>359</v>
      </c>
      <c r="X66">
        <v>9.3421806509866256E-2</v>
      </c>
    </row>
    <row r="67" spans="7:39" ht="15" thickBot="1" x14ac:dyDescent="0.4">
      <c r="W67" s="88" t="s">
        <v>360</v>
      </c>
      <c r="X67" s="88">
        <v>29</v>
      </c>
    </row>
    <row r="69" spans="7:39" ht="15" thickBot="1" x14ac:dyDescent="0.4">
      <c r="W69" t="s">
        <v>361</v>
      </c>
    </row>
    <row r="70" spans="7:39" x14ac:dyDescent="0.35">
      <c r="W70" s="89"/>
      <c r="X70" s="89" t="s">
        <v>362</v>
      </c>
      <c r="AH70" t="s">
        <v>354</v>
      </c>
    </row>
    <row r="71" spans="7:39" ht="15" thickBot="1" x14ac:dyDescent="0.4">
      <c r="W71" t="s">
        <v>366</v>
      </c>
      <c r="X71">
        <v>1</v>
      </c>
    </row>
    <row r="72" spans="7:39" x14ac:dyDescent="0.35">
      <c r="W72" t="s">
        <v>367</v>
      </c>
      <c r="X72">
        <v>27</v>
      </c>
      <c r="AH72" s="90" t="s">
        <v>355</v>
      </c>
      <c r="AI72" s="90"/>
    </row>
    <row r="73" spans="7:39" ht="15" thickBot="1" x14ac:dyDescent="0.4">
      <c r="W73" s="88" t="s">
        <v>99</v>
      </c>
      <c r="X73" s="88">
        <v>28</v>
      </c>
      <c r="AH73" t="s">
        <v>356</v>
      </c>
      <c r="AI73">
        <v>0.21042681893466675</v>
      </c>
    </row>
    <row r="74" spans="7:39" ht="15" thickBot="1" x14ac:dyDescent="0.4">
      <c r="AH74" t="s">
        <v>357</v>
      </c>
      <c r="AI74">
        <v>4.4279446126963024E-2</v>
      </c>
    </row>
    <row r="75" spans="7:39" x14ac:dyDescent="0.35">
      <c r="W75" s="89"/>
      <c r="X75" s="89" t="s">
        <v>368</v>
      </c>
      <c r="AH75" t="s">
        <v>358</v>
      </c>
      <c r="AI75">
        <v>2.7263785672657637E-3</v>
      </c>
    </row>
    <row r="76" spans="7:39" ht="15" thickBot="1" x14ac:dyDescent="0.4">
      <c r="W76" t="s">
        <v>375</v>
      </c>
      <c r="X76">
        <v>3.287545357743446E-2</v>
      </c>
      <c r="AH76" t="s">
        <v>359</v>
      </c>
      <c r="AI76">
        <v>6.0894584311646557E-2</v>
      </c>
    </row>
    <row r="77" spans="7:39" ht="15" thickBot="1" x14ac:dyDescent="0.4">
      <c r="W77" s="88" t="s">
        <v>376</v>
      </c>
      <c r="X77" s="88">
        <v>-7.2106156192176252E-2</v>
      </c>
      <c r="Y77" s="89" t="s">
        <v>288</v>
      </c>
      <c r="Z77" s="89" t="s">
        <v>363</v>
      </c>
      <c r="AA77" s="89" t="s">
        <v>364</v>
      </c>
      <c r="AB77" s="89" t="s">
        <v>365</v>
      </c>
      <c r="AH77" s="88" t="s">
        <v>360</v>
      </c>
      <c r="AI77" s="88">
        <v>25</v>
      </c>
    </row>
    <row r="78" spans="7:39" x14ac:dyDescent="0.35">
      <c r="Y78">
        <v>5.4679236595078784E-5</v>
      </c>
      <c r="Z78">
        <v>5.4679236595078784E-5</v>
      </c>
      <c r="AA78">
        <v>6.2650698945231906E-3</v>
      </c>
      <c r="AB78">
        <v>0.93749530299857775</v>
      </c>
    </row>
    <row r="79" spans="7:39" ht="15" thickBot="1" x14ac:dyDescent="0.4">
      <c r="Y79">
        <v>0.23564611615230596</v>
      </c>
      <c r="Z79">
        <v>8.7276339315668881E-3</v>
      </c>
      <c r="AH79" t="s">
        <v>361</v>
      </c>
    </row>
    <row r="80" spans="7:39" ht="15" thickBot="1" x14ac:dyDescent="0.4">
      <c r="Y80" s="88">
        <v>0.23570079538890104</v>
      </c>
      <c r="Z80" s="88"/>
      <c r="AA80" s="88"/>
      <c r="AB80" s="88"/>
      <c r="AH80" s="89"/>
      <c r="AI80" s="89" t="s">
        <v>362</v>
      </c>
      <c r="AJ80" s="89" t="s">
        <v>288</v>
      </c>
      <c r="AK80" s="89" t="s">
        <v>363</v>
      </c>
      <c r="AL80" s="89" t="s">
        <v>364</v>
      </c>
      <c r="AM80" s="89" t="s">
        <v>365</v>
      </c>
    </row>
    <row r="81" spans="14:42" ht="15" thickBot="1" x14ac:dyDescent="0.4">
      <c r="W81" t="s">
        <v>377</v>
      </c>
      <c r="AH81" t="s">
        <v>366</v>
      </c>
      <c r="AI81">
        <v>1</v>
      </c>
      <c r="AJ81">
        <v>3.9514494462928734E-3</v>
      </c>
      <c r="AK81">
        <v>3.9514494462928734E-3</v>
      </c>
      <c r="AL81">
        <v>1.0656119686795424</v>
      </c>
      <c r="AM81">
        <v>0.31267197586353229</v>
      </c>
    </row>
    <row r="82" spans="14:42" ht="15" thickBot="1" x14ac:dyDescent="0.4">
      <c r="Y82" s="89" t="s">
        <v>359</v>
      </c>
      <c r="Z82" s="89" t="s">
        <v>369</v>
      </c>
      <c r="AA82" s="89" t="s">
        <v>370</v>
      </c>
      <c r="AB82" s="89" t="s">
        <v>371</v>
      </c>
      <c r="AC82" s="89" t="s">
        <v>372</v>
      </c>
      <c r="AD82" s="89" t="s">
        <v>373</v>
      </c>
      <c r="AE82" s="89" t="s">
        <v>374</v>
      </c>
      <c r="AH82" t="s">
        <v>367</v>
      </c>
      <c r="AI82">
        <v>23</v>
      </c>
      <c r="AJ82">
        <v>8.5287459165229312E-2</v>
      </c>
      <c r="AK82">
        <v>3.708150398488231E-3</v>
      </c>
    </row>
    <row r="83" spans="14:42" ht="15" thickBot="1" x14ac:dyDescent="0.4">
      <c r="W83" s="89" t="s">
        <v>378</v>
      </c>
      <c r="X83" s="89" t="s">
        <v>353</v>
      </c>
      <c r="Y83">
        <v>2.4601342355434909E-2</v>
      </c>
      <c r="Z83">
        <v>1.3363276321453101</v>
      </c>
      <c r="AA83">
        <v>0.19259584987052961</v>
      </c>
      <c r="AB83">
        <v>-1.7602331413825882E-2</v>
      </c>
      <c r="AC83">
        <v>8.335323856869481E-2</v>
      </c>
      <c r="AD83">
        <v>-1.7602331413825882E-2</v>
      </c>
      <c r="AE83">
        <v>8.335323856869481E-2</v>
      </c>
      <c r="AH83" s="88" t="s">
        <v>99</v>
      </c>
      <c r="AI83" s="88">
        <v>24</v>
      </c>
      <c r="AJ83" s="88">
        <v>8.9238908611522186E-2</v>
      </c>
      <c r="AK83" s="88"/>
      <c r="AL83" s="88"/>
      <c r="AM83" s="88"/>
    </row>
    <row r="84" spans="14:42" ht="15" thickBot="1" x14ac:dyDescent="0.4">
      <c r="W84">
        <v>1</v>
      </c>
      <c r="X84">
        <v>3.0051274178742638E-2</v>
      </c>
      <c r="Y84" s="88">
        <v>0.91098113761163291</v>
      </c>
      <c r="Z84" s="88">
        <v>-7.9152194502315101E-2</v>
      </c>
      <c r="AA84" s="88">
        <v>0.93749530299853234</v>
      </c>
      <c r="AB84" s="88">
        <v>-1.9412850542816515</v>
      </c>
      <c r="AC84" s="88">
        <v>1.7970727418972989</v>
      </c>
      <c r="AD84" s="88">
        <v>-1.9412850542816515</v>
      </c>
      <c r="AE84" s="88">
        <v>1.7970727418972989</v>
      </c>
    </row>
    <row r="85" spans="14:42" x14ac:dyDescent="0.35">
      <c r="W85">
        <v>2</v>
      </c>
      <c r="X85">
        <v>2.9691625685860621E-2</v>
      </c>
      <c r="AH85" s="89"/>
      <c r="AI85" s="89" t="s">
        <v>368</v>
      </c>
      <c r="AJ85" s="89" t="s">
        <v>359</v>
      </c>
      <c r="AK85" s="89" t="s">
        <v>369</v>
      </c>
      <c r="AL85" s="89" t="s">
        <v>370</v>
      </c>
      <c r="AM85" s="89" t="s">
        <v>371</v>
      </c>
      <c r="AN85" s="89" t="s">
        <v>372</v>
      </c>
      <c r="AO85" s="89" t="s">
        <v>373</v>
      </c>
      <c r="AP85" s="89" t="s">
        <v>374</v>
      </c>
    </row>
    <row r="86" spans="14:42" x14ac:dyDescent="0.35">
      <c r="W86">
        <v>3</v>
      </c>
      <c r="X86">
        <v>3.0583724287917044E-2</v>
      </c>
      <c r="AH86" t="s">
        <v>375</v>
      </c>
      <c r="AI86">
        <v>2.9279240787115621E-2</v>
      </c>
      <c r="AJ86">
        <v>1.6990932054747124E-2</v>
      </c>
      <c r="AK86">
        <v>1.7232274658490703</v>
      </c>
      <c r="AL86">
        <v>9.8267347031675542E-2</v>
      </c>
      <c r="AM86">
        <v>-5.8691801160499907E-3</v>
      </c>
      <c r="AN86">
        <v>6.4427661690281232E-2</v>
      </c>
      <c r="AO86">
        <v>-5.8691801160499907E-3</v>
      </c>
      <c r="AP86">
        <v>6.4427661690281232E-2</v>
      </c>
    </row>
    <row r="87" spans="14:42" ht="15" thickBot="1" x14ac:dyDescent="0.4">
      <c r="W87">
        <v>4</v>
      </c>
      <c r="X87">
        <v>2.7420462882360861E-2</v>
      </c>
      <c r="AH87" s="88" t="s">
        <v>376</v>
      </c>
      <c r="AI87" s="88">
        <v>-0.83874890749943887</v>
      </c>
      <c r="AJ87" s="88">
        <v>0.81251693693567217</v>
      </c>
      <c r="AK87" s="88">
        <v>-1.0322848292402347</v>
      </c>
      <c r="AL87" s="88">
        <v>0.31267197586353185</v>
      </c>
      <c r="AM87" s="88">
        <v>-2.5195682526857914</v>
      </c>
      <c r="AN87" s="88">
        <v>0.84207043768691381</v>
      </c>
      <c r="AO87" s="88">
        <v>-2.5195682526857914</v>
      </c>
      <c r="AP87" s="88">
        <v>0.84207043768691381</v>
      </c>
    </row>
    <row r="88" spans="14:42" x14ac:dyDescent="0.35">
      <c r="W88">
        <v>5</v>
      </c>
      <c r="X88">
        <v>3.0228648734319088E-2</v>
      </c>
    </row>
    <row r="89" spans="14:42" ht="15" thickBot="1" x14ac:dyDescent="0.4">
      <c r="W89">
        <v>6</v>
      </c>
      <c r="X89">
        <v>3.2456762179052613E-2</v>
      </c>
    </row>
    <row r="90" spans="14:42" x14ac:dyDescent="0.35">
      <c r="W90">
        <v>7</v>
      </c>
      <c r="X90">
        <v>3.1108789888193863E-2</v>
      </c>
      <c r="Y90" s="89" t="s">
        <v>379</v>
      </c>
    </row>
    <row r="91" spans="14:42" x14ac:dyDescent="0.35">
      <c r="W91">
        <v>8</v>
      </c>
      <c r="X91">
        <v>3.2068590688919534E-2</v>
      </c>
      <c r="Y91">
        <v>-1.0543448625229004E-2</v>
      </c>
      <c r="AH91" t="s">
        <v>377</v>
      </c>
    </row>
    <row r="92" spans="14:42" x14ac:dyDescent="0.35">
      <c r="W92">
        <v>9</v>
      </c>
      <c r="X92">
        <v>3.2862014042257477E-2</v>
      </c>
      <c r="Y92">
        <v>9.4451871249228825E-2</v>
      </c>
    </row>
    <row r="93" spans="14:42" x14ac:dyDescent="0.35">
      <c r="N93" s="30" t="e">
        <f>AVERAGE(#REF!)</f>
        <v>#REF!</v>
      </c>
      <c r="U93" s="30">
        <f>AVERAGE(E4:E32)</f>
        <v>1.9147956474177909E-2</v>
      </c>
      <c r="W93">
        <v>10</v>
      </c>
      <c r="X93">
        <v>3.136420737829955E-2</v>
      </c>
      <c r="Y93">
        <v>0.35700149834596101</v>
      </c>
      <c r="AH93" t="s">
        <v>378</v>
      </c>
      <c r="AI93" t="s">
        <v>353</v>
      </c>
      <c r="AJ93" t="s">
        <v>379</v>
      </c>
    </row>
    <row r="94" spans="14:42" x14ac:dyDescent="0.35">
      <c r="W94">
        <v>11</v>
      </c>
      <c r="X94">
        <v>3.0696699646858096E-2</v>
      </c>
      <c r="Y94">
        <v>-7.1537169021912803E-2</v>
      </c>
      <c r="AH94">
        <v>1</v>
      </c>
      <c r="AI94">
        <v>-1.5087638405408381E-3</v>
      </c>
      <c r="AJ94">
        <v>0.13206387771794245</v>
      </c>
    </row>
    <row r="95" spans="14:42" x14ac:dyDescent="0.35">
      <c r="W95">
        <v>12</v>
      </c>
      <c r="X95">
        <v>3.1297278900158369E-2</v>
      </c>
      <c r="Y95">
        <v>0.10032646514308254</v>
      </c>
      <c r="AH95">
        <v>2</v>
      </c>
      <c r="AI95">
        <v>2.4408963802218023E-2</v>
      </c>
      <c r="AJ95">
        <v>0.12947322142256679</v>
      </c>
    </row>
    <row r="96" spans="14:42" x14ac:dyDescent="0.35">
      <c r="W96">
        <v>13</v>
      </c>
      <c r="X96">
        <v>3.2842274026930629E-2</v>
      </c>
      <c r="Y96">
        <v>0.1214254230457322</v>
      </c>
      <c r="AH96">
        <v>3</v>
      </c>
      <c r="AI96">
        <v>8.7291613275998214E-3</v>
      </c>
      <c r="AJ96">
        <v>3.2513235069793131E-3</v>
      </c>
    </row>
    <row r="97" spans="23:36" x14ac:dyDescent="0.35">
      <c r="W97">
        <v>14</v>
      </c>
      <c r="X97">
        <v>2.9805258268986942E-2</v>
      </c>
      <c r="Y97">
        <v>-1.9128305053614729E-2</v>
      </c>
      <c r="AH97">
        <v>4</v>
      </c>
      <c r="AI97">
        <v>1.9893698664469966E-2</v>
      </c>
      <c r="AJ97">
        <v>3.0485893828143304E-2</v>
      </c>
    </row>
    <row r="98" spans="23:36" x14ac:dyDescent="0.35">
      <c r="W98">
        <v>15</v>
      </c>
      <c r="X98">
        <v>2.9565132370855625E-2</v>
      </c>
      <c r="Y98">
        <v>1.8311001803693737E-2</v>
      </c>
      <c r="AH98">
        <v>5</v>
      </c>
      <c r="AI98">
        <v>2.9122910231691876E-2</v>
      </c>
      <c r="AJ98">
        <v>4.7603074076834617E-3</v>
      </c>
    </row>
    <row r="99" spans="23:36" x14ac:dyDescent="0.35">
      <c r="W99">
        <v>16</v>
      </c>
      <c r="X99">
        <v>3.1350333184123322E-2</v>
      </c>
      <c r="Y99">
        <v>1.0212035971178604E-3</v>
      </c>
      <c r="AH99">
        <v>6</v>
      </c>
      <c r="AI99">
        <v>1.1700213344454327E-2</v>
      </c>
      <c r="AJ99">
        <v>-2.873137714186462E-2</v>
      </c>
    </row>
    <row r="100" spans="23:36" x14ac:dyDescent="0.35">
      <c r="W100">
        <v>17</v>
      </c>
      <c r="X100">
        <v>3.1783919524521698E-2</v>
      </c>
      <c r="Y100">
        <v>-4.8395371175709842E-2</v>
      </c>
      <c r="AH100">
        <v>7</v>
      </c>
      <c r="AI100">
        <v>3.9356699259730545E-3</v>
      </c>
      <c r="AJ100">
        <v>-7.2396875511505435E-2</v>
      </c>
    </row>
    <row r="101" spans="23:36" x14ac:dyDescent="0.35">
      <c r="W101">
        <v>18</v>
      </c>
      <c r="X101">
        <v>3.2198945055292243E-2</v>
      </c>
      <c r="Y101">
        <v>-9.9157905232390486E-2</v>
      </c>
      <c r="AH101">
        <v>8</v>
      </c>
      <c r="AI101">
        <v>1.092169191319263E-2</v>
      </c>
      <c r="AJ101">
        <v>-0.11159312440792407</v>
      </c>
    </row>
    <row r="102" spans="23:36" x14ac:dyDescent="0.35">
      <c r="W102">
        <v>19</v>
      </c>
      <c r="X102">
        <v>3.2081048013081662E-2</v>
      </c>
      <c r="Y102">
        <v>-0.1319687113948898</v>
      </c>
      <c r="AH102">
        <v>9</v>
      </c>
      <c r="AI102">
        <v>2.8893291608764714E-2</v>
      </c>
      <c r="AJ102">
        <v>-6.8441876582859495E-2</v>
      </c>
    </row>
    <row r="103" spans="23:36" x14ac:dyDescent="0.35">
      <c r="W103">
        <v>20</v>
      </c>
      <c r="X103">
        <v>3.1473664172938433E-2</v>
      </c>
      <c r="Y103">
        <v>-7.2390859001025404E-2</v>
      </c>
      <c r="AH103">
        <v>10</v>
      </c>
      <c r="AI103">
        <v>-6.433701030321981E-3</v>
      </c>
      <c r="AJ103">
        <v>8.2159149682347166E-2</v>
      </c>
    </row>
    <row r="104" spans="23:36" x14ac:dyDescent="0.35">
      <c r="W104">
        <v>21</v>
      </c>
      <c r="X104">
        <v>3.2475331374936009E-2</v>
      </c>
      <c r="Y104">
        <v>4.592019038303824E-2</v>
      </c>
      <c r="AH104">
        <v>11</v>
      </c>
      <c r="AI104">
        <v>-9.2268791076997383E-3</v>
      </c>
      <c r="AJ104">
        <v>-4.4674988827009834E-2</v>
      </c>
    </row>
    <row r="105" spans="23:36" x14ac:dyDescent="0.35">
      <c r="W105">
        <v>22</v>
      </c>
      <c r="X105">
        <v>3.2881067889524752E-2</v>
      </c>
      <c r="Y105">
        <v>-8.3467000305565198E-2</v>
      </c>
      <c r="AH105">
        <v>12</v>
      </c>
      <c r="AI105">
        <v>1.1538826774676162E-2</v>
      </c>
      <c r="AJ105">
        <v>-5.3198359105367521E-2</v>
      </c>
    </row>
    <row r="106" spans="23:36" x14ac:dyDescent="0.35">
      <c r="W106">
        <v>23</v>
      </c>
      <c r="X106">
        <v>3.2364944432014459E-2</v>
      </c>
      <c r="Y106">
        <v>-7.300986551481467E-2</v>
      </c>
      <c r="AH106">
        <v>13</v>
      </c>
      <c r="AI106">
        <v>1.6582363811188994E-2</v>
      </c>
      <c r="AJ106">
        <v>-4.4726128328841375E-2</v>
      </c>
    </row>
    <row r="107" spans="23:36" x14ac:dyDescent="0.35">
      <c r="W107">
        <v>24</v>
      </c>
      <c r="X107">
        <v>3.08576278157409E-2</v>
      </c>
      <c r="Y107">
        <v>-5.9927684042174079E-2</v>
      </c>
      <c r="AH107">
        <v>14</v>
      </c>
      <c r="AI107">
        <v>2.1409998910616682E-2</v>
      </c>
      <c r="AJ107">
        <v>-7.3868120571064927E-3</v>
      </c>
    </row>
    <row r="108" spans="23:36" x14ac:dyDescent="0.35">
      <c r="W108">
        <v>25</v>
      </c>
      <c r="X108">
        <v>3.2464784419365282E-2</v>
      </c>
      <c r="Y108">
        <v>-1.8175758201782053E-2</v>
      </c>
      <c r="AH108">
        <v>15</v>
      </c>
      <c r="AI108">
        <v>2.0038604003807477E-2</v>
      </c>
      <c r="AJ108">
        <v>2.3377828752165909E-2</v>
      </c>
    </row>
    <row r="109" spans="23:36" x14ac:dyDescent="0.35">
      <c r="W109">
        <v>26</v>
      </c>
      <c r="X109">
        <v>3.2049515103982934E-2</v>
      </c>
      <c r="Y109">
        <v>1.1335384742891724E-2</v>
      </c>
      <c r="AH109">
        <v>16</v>
      </c>
      <c r="AI109">
        <v>1.2973430109428953E-2</v>
      </c>
      <c r="AJ109">
        <v>1.22144573586783E-2</v>
      </c>
    </row>
    <row r="110" spans="23:36" x14ac:dyDescent="0.35">
      <c r="W110">
        <v>27</v>
      </c>
      <c r="X110">
        <v>3.3406225411576049E-2</v>
      </c>
      <c r="Y110">
        <v>-6.2857767048311794E-3</v>
      </c>
      <c r="AH110">
        <v>17</v>
      </c>
      <c r="AI110">
        <v>2.46249632894023E-2</v>
      </c>
      <c r="AJ110">
        <v>2.0537754519498339E-2</v>
      </c>
    </row>
    <row r="111" spans="23:36" x14ac:dyDescent="0.35">
      <c r="W111">
        <v>28</v>
      </c>
      <c r="X111">
        <v>3.4331988019516993E-2</v>
      </c>
      <c r="Y111">
        <v>1.268738643396463E-2</v>
      </c>
      <c r="AH111">
        <v>18</v>
      </c>
      <c r="AI111">
        <v>2.9344547251650237E-2</v>
      </c>
      <c r="AJ111">
        <v>2.9063507825200088E-2</v>
      </c>
    </row>
    <row r="112" spans="23:36" ht="15" thickBot="1" x14ac:dyDescent="0.4">
      <c r="W112" s="88">
        <v>29</v>
      </c>
      <c r="X112" s="88">
        <v>3.1586135500917795E-2</v>
      </c>
      <c r="Y112">
        <v>2.5526987187325573E-2</v>
      </c>
      <c r="AH112">
        <v>19</v>
      </c>
      <c r="AI112">
        <v>2.3340926909333842E-2</v>
      </c>
      <c r="AJ112">
        <v>2.08198205255739E-2</v>
      </c>
    </row>
    <row r="113" spans="25:36" x14ac:dyDescent="0.35">
      <c r="Y113">
        <v>1.1795803002893283E-2</v>
      </c>
      <c r="AH113">
        <v>20</v>
      </c>
      <c r="AI113">
        <v>5.8076089248650965E-3</v>
      </c>
      <c r="AJ113">
        <v>-2.6093710396533298E-2</v>
      </c>
    </row>
    <row r="114" spans="25:36" x14ac:dyDescent="0.35">
      <c r="Y114">
        <v>-5.1143729287409102E-2</v>
      </c>
      <c r="AH114">
        <v>21</v>
      </c>
      <c r="AI114">
        <v>2.4502279625072561E-2</v>
      </c>
      <c r="AJ114">
        <v>-6.4301907967966809E-2</v>
      </c>
    </row>
    <row r="115" spans="25:36" x14ac:dyDescent="0.35">
      <c r="Y115">
        <v>-7.2264412762259533E-2</v>
      </c>
      <c r="AH115">
        <v>22</v>
      </c>
      <c r="AI115">
        <v>1.9671808788897606E-2</v>
      </c>
      <c r="AJ115">
        <v>-2.2384608761971493E-2</v>
      </c>
    </row>
    <row r="116" spans="25:36" x14ac:dyDescent="0.35">
      <c r="Y116">
        <v>-3.4762315077056821E-2</v>
      </c>
      <c r="AH116">
        <v>23</v>
      </c>
      <c r="AI116">
        <v>3.5453253097953975E-2</v>
      </c>
      <c r="AJ116">
        <v>6.8581791990873719E-2</v>
      </c>
    </row>
    <row r="117" spans="25:36" x14ac:dyDescent="0.35">
      <c r="Y117">
        <v>7.0628819677251653E-2</v>
      </c>
      <c r="AH117">
        <v>24</v>
      </c>
      <c r="AI117">
        <v>4.6221853409206586E-2</v>
      </c>
      <c r="AJ117">
        <v>-2.6266483984207466E-2</v>
      </c>
    </row>
    <row r="118" spans="25:36" x14ac:dyDescent="0.35">
      <c r="Y118">
        <v>-1.4376618594517873E-2</v>
      </c>
      <c r="AH118">
        <v>25</v>
      </c>
      <c r="AI118">
        <v>1.428171234841389E-2</v>
      </c>
      <c r="AJ118">
        <v>1.3407318535505194E-2</v>
      </c>
    </row>
    <row r="119" spans="25:36" ht="15" thickBot="1" x14ac:dyDescent="0.4">
      <c r="Y119" s="88">
        <v>-3.897104616998711E-3</v>
      </c>
      <c r="AH119">
        <v>26</v>
      </c>
      <c r="AI119">
        <v>3.2192461518787886E-2</v>
      </c>
      <c r="AJ119">
        <v>-3.4905261491861773E-2</v>
      </c>
    </row>
    <row r="120" spans="25:36" x14ac:dyDescent="0.35">
      <c r="AH120">
        <v>27</v>
      </c>
      <c r="AI120">
        <v>3.3558323635661434E-2</v>
      </c>
      <c r="AJ120">
        <v>7.0476721453166274E-2</v>
      </c>
    </row>
    <row r="121" spans="25:36" ht="15" thickBot="1" x14ac:dyDescent="0.4">
      <c r="AH121" s="88">
        <v>28</v>
      </c>
      <c r="AI121" s="88">
        <v>3.4490331057089402E-2</v>
      </c>
      <c r="AJ121" s="88">
        <v>-1.4534961632090282E-2</v>
      </c>
    </row>
  </sheetData>
  <mergeCells count="5">
    <mergeCell ref="C1:D1"/>
    <mergeCell ref="F52:F53"/>
    <mergeCell ref="G52:P52"/>
    <mergeCell ref="G56:P56"/>
    <mergeCell ref="E1:G1"/>
  </mergeCells>
  <conditionalFormatting sqref="A3:G39">
    <cfRule type="expression" dxfId="19" priority="1">
      <formula>MOD(ROW(),2)</formula>
    </cfRule>
  </conditionalFormatting>
  <conditionalFormatting sqref="O4:S4 R5:S32 R34:S34">
    <cfRule type="expression" dxfId="18" priority="3">
      <formula>MOD(ROW(),2)</formula>
    </cfRule>
  </conditionalFormatting>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45DA-98D6-4E8A-8A7E-5E268505CCD7}">
  <dimension ref="B1:W37"/>
  <sheetViews>
    <sheetView zoomScale="85" zoomScaleNormal="85" workbookViewId="0">
      <selection activeCell="J25" sqref="J25"/>
    </sheetView>
  </sheetViews>
  <sheetFormatPr defaultRowHeight="14.5" x14ac:dyDescent="0.35"/>
  <cols>
    <col min="6" max="6" width="25.1796875" customWidth="1"/>
    <col min="7" max="7" width="20.26953125" bestFit="1" customWidth="1"/>
    <col min="8" max="8" width="13.26953125" bestFit="1" customWidth="1"/>
    <col min="12" max="12" width="14.26953125" bestFit="1" customWidth="1"/>
  </cols>
  <sheetData>
    <row r="1" spans="2:18" ht="15" customHeight="1" x14ac:dyDescent="0.35">
      <c r="L1" t="s">
        <v>234</v>
      </c>
    </row>
    <row r="2" spans="2:18" ht="25.5" customHeight="1" x14ac:dyDescent="0.35">
      <c r="C2" t="s">
        <v>21</v>
      </c>
      <c r="F2" s="99" t="s">
        <v>1</v>
      </c>
      <c r="G2" s="99" t="s">
        <v>235</v>
      </c>
      <c r="L2" t="s">
        <v>236</v>
      </c>
      <c r="M2" t="s">
        <v>8</v>
      </c>
      <c r="N2" t="s">
        <v>237</v>
      </c>
      <c r="O2" t="s">
        <v>238</v>
      </c>
      <c r="P2" t="s">
        <v>239</v>
      </c>
      <c r="Q2" t="s">
        <v>240</v>
      </c>
    </row>
    <row r="3" spans="2:18" ht="25.5" customHeight="1" x14ac:dyDescent="0.35">
      <c r="C3" s="94">
        <f>'USDPHP Forecasting'!I4</f>
        <v>58.208653592278019</v>
      </c>
      <c r="F3" s="96" t="s">
        <v>241</v>
      </c>
      <c r="G3" s="96"/>
      <c r="L3" s="85">
        <v>45536</v>
      </c>
      <c r="M3">
        <v>6.15</v>
      </c>
      <c r="N3">
        <v>6.1239999999999997</v>
      </c>
      <c r="O3">
        <v>6.1680000000000001</v>
      </c>
      <c r="P3">
        <v>6.09</v>
      </c>
      <c r="Q3" s="39">
        <v>1.0999999999999999E-2</v>
      </c>
      <c r="R3">
        <f>AVERAGE(M3:M27)%</f>
        <v>6.4836000000000005E-2</v>
      </c>
    </row>
    <row r="4" spans="2:18" ht="25.5" customHeight="1" x14ac:dyDescent="0.35">
      <c r="F4" s="96" t="s">
        <v>242</v>
      </c>
      <c r="G4" s="96"/>
      <c r="H4" t="s">
        <v>243</v>
      </c>
      <c r="L4" s="85">
        <v>45505</v>
      </c>
      <c r="M4">
        <v>6.0830000000000002</v>
      </c>
      <c r="N4">
        <v>6.19</v>
      </c>
      <c r="O4">
        <v>6.19</v>
      </c>
      <c r="P4">
        <v>6.0369999999999999</v>
      </c>
      <c r="Q4" s="39">
        <v>-1.8599999999999998E-2</v>
      </c>
    </row>
    <row r="5" spans="2:18" ht="25.5" customHeight="1" x14ac:dyDescent="0.35">
      <c r="B5" t="s">
        <v>244</v>
      </c>
      <c r="F5" s="96" t="s">
        <v>245</v>
      </c>
      <c r="G5" s="103">
        <v>7.3800000000000004E-2</v>
      </c>
      <c r="L5" s="85">
        <v>45474</v>
      </c>
      <c r="M5">
        <v>6.1980000000000004</v>
      </c>
      <c r="N5">
        <v>6.6180000000000003</v>
      </c>
      <c r="O5">
        <v>6.641</v>
      </c>
      <c r="P5">
        <v>6.1980000000000004</v>
      </c>
      <c r="Q5" s="39">
        <v>-7.1599999999999997E-2</v>
      </c>
    </row>
    <row r="6" spans="2:18" ht="25.5" customHeight="1" x14ac:dyDescent="0.35">
      <c r="B6" t="s">
        <v>246</v>
      </c>
      <c r="F6" s="96" t="s">
        <v>247</v>
      </c>
      <c r="G6" s="103">
        <v>2.7799999999999998E-2</v>
      </c>
      <c r="L6" s="85">
        <v>45444</v>
      </c>
      <c r="M6">
        <v>6.6760000000000002</v>
      </c>
      <c r="N6">
        <v>6.7350000000000003</v>
      </c>
      <c r="O6">
        <v>6.7709999999999999</v>
      </c>
      <c r="P6">
        <v>6.6139999999999999</v>
      </c>
      <c r="Q6" s="39">
        <v>-1.18E-2</v>
      </c>
    </row>
    <row r="7" spans="2:18" ht="25.5" customHeight="1" x14ac:dyDescent="0.35">
      <c r="F7" s="96" t="s">
        <v>248</v>
      </c>
      <c r="G7" s="104">
        <f>R3</f>
        <v>6.4836000000000005E-2</v>
      </c>
      <c r="L7" s="85">
        <v>45413</v>
      </c>
      <c r="M7">
        <v>6.7560000000000002</v>
      </c>
      <c r="N7">
        <v>7.0010000000000003</v>
      </c>
      <c r="O7">
        <v>7.0010000000000003</v>
      </c>
      <c r="P7">
        <v>6.6</v>
      </c>
      <c r="Q7" s="39">
        <v>-3.5000000000000003E-2</v>
      </c>
    </row>
    <row r="8" spans="2:18" ht="25.5" customHeight="1" x14ac:dyDescent="0.35">
      <c r="F8" s="96" t="s">
        <v>249</v>
      </c>
      <c r="G8" s="97">
        <v>0.34100000000000003</v>
      </c>
      <c r="L8" s="85">
        <v>45383</v>
      </c>
      <c r="M8">
        <v>7.0010000000000003</v>
      </c>
      <c r="N8">
        <v>6.2640000000000002</v>
      </c>
      <c r="O8">
        <v>7.0010000000000003</v>
      </c>
      <c r="P8">
        <v>6.2640000000000002</v>
      </c>
      <c r="Q8" s="39">
        <v>0.115</v>
      </c>
    </row>
    <row r="9" spans="2:18" ht="25.5" customHeight="1" x14ac:dyDescent="0.35">
      <c r="F9" s="96" t="s">
        <v>250</v>
      </c>
      <c r="G9" s="103">
        <f>G7+G8*G5+G6</f>
        <v>0.11780180000000001</v>
      </c>
      <c r="L9" s="85">
        <v>45352</v>
      </c>
      <c r="M9">
        <v>6.2789999999999999</v>
      </c>
      <c r="N9">
        <v>6.27</v>
      </c>
      <c r="O9">
        <v>6.335</v>
      </c>
      <c r="P9">
        <v>6.2249999999999996</v>
      </c>
      <c r="Q9" s="39">
        <v>1.6000000000000001E-3</v>
      </c>
    </row>
    <row r="10" spans="2:18" ht="25.5" customHeight="1" x14ac:dyDescent="0.35">
      <c r="F10" s="96" t="s">
        <v>251</v>
      </c>
      <c r="G10" s="97">
        <f>D22</f>
        <v>0.58146296080939641</v>
      </c>
      <c r="L10" s="85">
        <v>45323</v>
      </c>
      <c r="M10">
        <v>6.2690000000000001</v>
      </c>
      <c r="N10">
        <v>6.1909999999999998</v>
      </c>
      <c r="O10">
        <v>6.3840000000000003</v>
      </c>
      <c r="P10">
        <v>6.1710000000000003</v>
      </c>
      <c r="Q10" s="39">
        <v>1.8200000000000001E-2</v>
      </c>
    </row>
    <row r="11" spans="2:18" ht="25.5" customHeight="1" x14ac:dyDescent="0.35">
      <c r="F11" s="96" t="s">
        <v>252</v>
      </c>
      <c r="G11" s="97">
        <f>E22</f>
        <v>0.41853703919060359</v>
      </c>
      <c r="H11" s="102">
        <v>0.25</v>
      </c>
      <c r="L11" s="85">
        <v>45292</v>
      </c>
      <c r="M11">
        <v>6.157</v>
      </c>
      <c r="N11">
        <v>6.0229999999999997</v>
      </c>
      <c r="O11">
        <v>6.2919999999999998</v>
      </c>
      <c r="P11">
        <v>6.0229999999999997</v>
      </c>
      <c r="Q11" s="39">
        <v>2.2200000000000001E-2</v>
      </c>
    </row>
    <row r="12" spans="2:18" ht="25.5" customHeight="1" x14ac:dyDescent="0.35">
      <c r="F12" s="96" t="s">
        <v>253</v>
      </c>
      <c r="G12" s="103">
        <f>G31</f>
        <v>6.7500000000000004E-2</v>
      </c>
      <c r="L12" s="85">
        <v>45261</v>
      </c>
      <c r="M12">
        <v>6.0229999999999997</v>
      </c>
      <c r="N12">
        <v>6.327</v>
      </c>
      <c r="O12">
        <v>6.327</v>
      </c>
      <c r="P12">
        <v>5.907</v>
      </c>
      <c r="Q12" s="39">
        <v>-3.4799999999999998E-2</v>
      </c>
    </row>
    <row r="13" spans="2:18" ht="25.5" customHeight="1" x14ac:dyDescent="0.35">
      <c r="F13" s="96" t="s">
        <v>254</v>
      </c>
      <c r="G13" s="97">
        <v>0.25</v>
      </c>
      <c r="L13" s="85">
        <v>45231</v>
      </c>
      <c r="M13">
        <v>6.24</v>
      </c>
      <c r="N13">
        <v>7.016</v>
      </c>
      <c r="O13">
        <v>7.016</v>
      </c>
      <c r="P13">
        <v>6.2309999999999999</v>
      </c>
      <c r="Q13" s="39">
        <v>-0.1201</v>
      </c>
    </row>
    <row r="14" spans="2:18" ht="25.5" customHeight="1" x14ac:dyDescent="0.35">
      <c r="F14" s="96" t="s">
        <v>242</v>
      </c>
      <c r="G14" s="103">
        <f>G11*G12*(1-G13)+G9*G10</f>
        <v>8.9685821025700663E-2</v>
      </c>
      <c r="L14" s="85">
        <v>45200</v>
      </c>
      <c r="M14">
        <v>7.0919999999999996</v>
      </c>
      <c r="N14">
        <v>6.5819999999999999</v>
      </c>
      <c r="O14">
        <v>7.0919999999999996</v>
      </c>
      <c r="P14">
        <v>6.5519999999999996</v>
      </c>
      <c r="Q14" s="39">
        <v>7.7499999999999999E-2</v>
      </c>
    </row>
    <row r="15" spans="2:18" x14ac:dyDescent="0.35">
      <c r="F15" s="39">
        <f>9.75%*(1-25%)</f>
        <v>7.3124999999999996E-2</v>
      </c>
      <c r="L15" s="85">
        <v>45170</v>
      </c>
      <c r="M15">
        <v>6.5819999999999999</v>
      </c>
      <c r="N15">
        <v>6.5490000000000004</v>
      </c>
      <c r="O15">
        <v>6.593</v>
      </c>
      <c r="P15">
        <v>6.3879999999999999</v>
      </c>
      <c r="Q15" s="39">
        <v>5.0000000000000001E-3</v>
      </c>
    </row>
    <row r="16" spans="2:18" x14ac:dyDescent="0.35">
      <c r="G16" s="316">
        <f>G11*G30</f>
        <v>3892394.4644726133</v>
      </c>
      <c r="L16" s="85">
        <v>45139</v>
      </c>
      <c r="M16">
        <v>6.5490000000000004</v>
      </c>
      <c r="N16">
        <v>6.4329999999999998</v>
      </c>
      <c r="O16">
        <v>6.6050000000000004</v>
      </c>
      <c r="P16">
        <v>6.4329999999999998</v>
      </c>
      <c r="Q16" s="39">
        <v>1.7999999999999999E-2</v>
      </c>
    </row>
    <row r="17" spans="2:17" x14ac:dyDescent="0.35">
      <c r="L17" s="85">
        <v>45108</v>
      </c>
      <c r="M17">
        <v>6.4329999999999998</v>
      </c>
      <c r="N17">
        <v>6.42</v>
      </c>
      <c r="O17">
        <v>6.7720000000000002</v>
      </c>
      <c r="P17">
        <v>6.28</v>
      </c>
      <c r="Q17" s="39">
        <v>2E-3</v>
      </c>
    </row>
    <row r="18" spans="2:17" x14ac:dyDescent="0.35">
      <c r="L18" s="85">
        <v>45078</v>
      </c>
      <c r="M18">
        <v>6.42</v>
      </c>
      <c r="N18">
        <v>5.8550000000000004</v>
      </c>
      <c r="O18">
        <v>6.42</v>
      </c>
      <c r="P18">
        <v>5.851</v>
      </c>
      <c r="Q18" s="39">
        <v>7.9899999999999999E-2</v>
      </c>
    </row>
    <row r="19" spans="2:17" x14ac:dyDescent="0.35">
      <c r="B19" t="s">
        <v>244</v>
      </c>
      <c r="D19" t="s">
        <v>255</v>
      </c>
      <c r="E19">
        <v>0.7198</v>
      </c>
      <c r="L19" s="85">
        <v>45047</v>
      </c>
      <c r="M19">
        <v>5.9450000000000003</v>
      </c>
      <c r="N19">
        <v>6.1420000000000003</v>
      </c>
      <c r="O19">
        <v>6.1459999999999999</v>
      </c>
      <c r="P19">
        <v>5.7439999999999998</v>
      </c>
      <c r="Q19" s="39">
        <v>-3.2099999999999997E-2</v>
      </c>
    </row>
    <row r="20" spans="2:17" x14ac:dyDescent="0.35">
      <c r="B20" t="s">
        <v>246</v>
      </c>
      <c r="L20" s="85">
        <v>45017</v>
      </c>
      <c r="M20">
        <v>6.1420000000000003</v>
      </c>
      <c r="N20">
        <v>6.2149999999999999</v>
      </c>
      <c r="O20">
        <v>6.2560000000000002</v>
      </c>
      <c r="P20">
        <v>6.125</v>
      </c>
      <c r="Q20" s="39">
        <v>-1.6500000000000001E-2</v>
      </c>
    </row>
    <row r="21" spans="2:17" x14ac:dyDescent="0.35">
      <c r="C21" t="s">
        <v>256</v>
      </c>
      <c r="D21">
        <v>1.7198</v>
      </c>
      <c r="H21" t="s">
        <v>21</v>
      </c>
      <c r="I21">
        <v>55.74</v>
      </c>
      <c r="L21" s="85">
        <v>44986</v>
      </c>
      <c r="M21">
        <v>6.2450000000000001</v>
      </c>
      <c r="N21">
        <v>6.3440000000000003</v>
      </c>
      <c r="O21">
        <v>6.55</v>
      </c>
      <c r="P21">
        <v>6.1669999999999998</v>
      </c>
      <c r="Q21" s="39">
        <v>-1.5599999999999999E-2</v>
      </c>
    </row>
    <row r="22" spans="2:17" x14ac:dyDescent="0.35">
      <c r="C22" t="s">
        <v>257</v>
      </c>
      <c r="D22" s="101">
        <f>1/D21</f>
        <v>0.58146296080939641</v>
      </c>
      <c r="E22" s="101">
        <f>1-D22</f>
        <v>0.41853703919060359</v>
      </c>
      <c r="F22" s="316">
        <f>F23/10</f>
        <v>26860238.888888866</v>
      </c>
      <c r="L22" s="85">
        <v>44958</v>
      </c>
      <c r="M22">
        <v>6.3440000000000003</v>
      </c>
      <c r="N22">
        <v>6.13</v>
      </c>
      <c r="O22">
        <v>6.4160000000000004</v>
      </c>
      <c r="P22">
        <v>6.0460000000000003</v>
      </c>
      <c r="Q22" s="39">
        <v>3.49E-2</v>
      </c>
    </row>
    <row r="23" spans="2:17" x14ac:dyDescent="0.35">
      <c r="F23" s="29">
        <f>G29*'PHP Requirement'!C2</f>
        <v>268602388.88888866</v>
      </c>
      <c r="G23">
        <f>G33*'PHP Requirement'!C2</f>
        <v>90091513.387312412</v>
      </c>
      <c r="L23" s="85">
        <v>44927</v>
      </c>
      <c r="M23">
        <v>6.13</v>
      </c>
      <c r="N23">
        <v>6.9130000000000003</v>
      </c>
      <c r="O23">
        <v>7.1349999999999998</v>
      </c>
      <c r="P23">
        <v>5.9660000000000002</v>
      </c>
      <c r="Q23" s="39">
        <v>-0.1133</v>
      </c>
    </row>
    <row r="24" spans="2:17" ht="23.5" customHeight="1" x14ac:dyDescent="0.35">
      <c r="L24" s="85">
        <v>44896</v>
      </c>
      <c r="M24">
        <v>6.9130000000000003</v>
      </c>
      <c r="N24">
        <v>6.9619999999999997</v>
      </c>
      <c r="O24">
        <v>7.0250000000000004</v>
      </c>
      <c r="P24">
        <v>6.75</v>
      </c>
      <c r="Q24" s="39">
        <v>-7.0000000000000001E-3</v>
      </c>
    </row>
    <row r="25" spans="2:17" ht="23.5" customHeight="1" x14ac:dyDescent="0.35">
      <c r="G25">
        <f>G30*'PHP Requirement'!C2</f>
        <v>531489833.3333329</v>
      </c>
      <c r="L25" s="85">
        <v>44866</v>
      </c>
      <c r="M25">
        <v>6.9619999999999997</v>
      </c>
      <c r="N25">
        <v>7.4160000000000004</v>
      </c>
      <c r="O25">
        <v>7.7039999999999997</v>
      </c>
      <c r="P25">
        <v>6.9</v>
      </c>
      <c r="Q25" s="39">
        <v>-6.1199999999999997E-2</v>
      </c>
    </row>
    <row r="26" spans="2:17" ht="20.149999999999999" customHeight="1" x14ac:dyDescent="0.35">
      <c r="F26" s="369" t="s">
        <v>258</v>
      </c>
      <c r="G26" s="2" t="s">
        <v>259</v>
      </c>
      <c r="H26" s="2"/>
      <c r="L26" s="85">
        <v>44835</v>
      </c>
      <c r="M26">
        <v>7.4160000000000004</v>
      </c>
      <c r="N26">
        <v>6.9560000000000004</v>
      </c>
      <c r="O26">
        <v>7.4320000000000004</v>
      </c>
      <c r="P26">
        <v>6.952</v>
      </c>
      <c r="Q26" s="39">
        <v>4.6699999999999998E-2</v>
      </c>
    </row>
    <row r="27" spans="2:17" ht="20.149999999999999" customHeight="1" x14ac:dyDescent="0.35">
      <c r="F27" s="369"/>
      <c r="G27" s="2" t="s">
        <v>260</v>
      </c>
      <c r="H27" s="2" t="s">
        <v>261</v>
      </c>
      <c r="L27" s="85">
        <v>44805</v>
      </c>
      <c r="M27">
        <v>7.085</v>
      </c>
      <c r="N27">
        <v>6.2290000000000001</v>
      </c>
      <c r="O27">
        <v>7.2729999999999997</v>
      </c>
      <c r="P27">
        <v>6.2290000000000001</v>
      </c>
      <c r="Q27" s="39">
        <v>0.13739999999999999</v>
      </c>
    </row>
    <row r="28" spans="2:17" ht="20.149999999999999" customHeight="1" x14ac:dyDescent="0.35">
      <c r="F28" s="2" t="s">
        <v>6</v>
      </c>
      <c r="G28" s="11">
        <v>4600000</v>
      </c>
      <c r="H28" s="11"/>
    </row>
    <row r="29" spans="2:17" ht="20.149999999999999" customHeight="1" x14ac:dyDescent="0.35">
      <c r="F29" s="2" t="s">
        <v>262</v>
      </c>
      <c r="G29" s="11">
        <v>4700000</v>
      </c>
      <c r="H29" s="11"/>
    </row>
    <row r="30" spans="2:17" ht="20.149999999999999" customHeight="1" x14ac:dyDescent="0.35">
      <c r="B30" t="s">
        <v>244</v>
      </c>
      <c r="C30" t="s">
        <v>246</v>
      </c>
      <c r="F30" s="2" t="s">
        <v>263</v>
      </c>
      <c r="G30" s="11">
        <f>SUM(G28:G29)</f>
        <v>9300000</v>
      </c>
      <c r="H30" s="11"/>
      <c r="L30" s="38">
        <v>50537230</v>
      </c>
    </row>
    <row r="31" spans="2:17" ht="20.149999999999999" customHeight="1" x14ac:dyDescent="0.35">
      <c r="B31" t="s">
        <v>264</v>
      </c>
      <c r="C31" t="s">
        <v>265</v>
      </c>
      <c r="F31" s="2" t="s">
        <v>266</v>
      </c>
      <c r="G31" s="44">
        <f>Q36</f>
        <v>6.7500000000000004E-2</v>
      </c>
      <c r="H31" s="45">
        <f>S36</f>
        <v>9.7500000000000017E-2</v>
      </c>
      <c r="L31" s="29">
        <f>L30*7.2%</f>
        <v>3638680.5600000005</v>
      </c>
    </row>
    <row r="32" spans="2:17" ht="20.149999999999999" customHeight="1" x14ac:dyDescent="0.35">
      <c r="F32" s="2" t="s">
        <v>267</v>
      </c>
      <c r="G32" s="72">
        <f>G31*$G$16</f>
        <v>262736.62635190139</v>
      </c>
      <c r="H32" s="72">
        <f>H31*$G$16</f>
        <v>379508.46028607985</v>
      </c>
      <c r="L32" s="29">
        <f>L31*15</f>
        <v>54580208.400000006</v>
      </c>
    </row>
    <row r="33" spans="6:23" x14ac:dyDescent="0.35">
      <c r="F33" s="2" t="s">
        <v>268</v>
      </c>
      <c r="G33" s="72">
        <f>G32*G34</f>
        <v>1576419.7581114084</v>
      </c>
      <c r="H33" s="72">
        <f>H32*G34</f>
        <v>2277050.761716479</v>
      </c>
    </row>
    <row r="34" spans="6:23" x14ac:dyDescent="0.35">
      <c r="F34" s="2" t="s">
        <v>269</v>
      </c>
      <c r="G34" s="2">
        <v>6</v>
      </c>
      <c r="H34" s="2"/>
    </row>
    <row r="36" spans="6:23" x14ac:dyDescent="0.35">
      <c r="O36">
        <v>6.5</v>
      </c>
      <c r="P36" s="39">
        <v>4.4999999999999998E-2</v>
      </c>
      <c r="Q36" s="39">
        <v>6.7500000000000004E-2</v>
      </c>
      <c r="R36" t="s">
        <v>260</v>
      </c>
      <c r="S36" s="30">
        <f>Q37</f>
        <v>9.7500000000000017E-2</v>
      </c>
      <c r="T36" t="str">
        <f>R37</f>
        <v>Philipines</v>
      </c>
      <c r="W36">
        <f>6.3+7.2</f>
        <v>13.5</v>
      </c>
    </row>
    <row r="37" spans="6:23" x14ac:dyDescent="0.35">
      <c r="P37" s="39">
        <v>6.5000000000000002E-2</v>
      </c>
      <c r="Q37">
        <f>Q36*P37/P36</f>
        <v>9.7500000000000017E-2</v>
      </c>
      <c r="R37" t="s">
        <v>270</v>
      </c>
      <c r="W37">
        <f>W36/2</f>
        <v>6.75</v>
      </c>
    </row>
  </sheetData>
  <mergeCells count="1">
    <mergeCell ref="F26:F27"/>
  </mergeCell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5E706-9E2C-46EA-9AE7-80C986413710}">
  <dimension ref="B5:J16"/>
  <sheetViews>
    <sheetView zoomScale="145" zoomScaleNormal="145" workbookViewId="0">
      <selection activeCell="C15" sqref="C15"/>
    </sheetView>
  </sheetViews>
  <sheetFormatPr defaultRowHeight="14.5" x14ac:dyDescent="0.35"/>
  <cols>
    <col min="3" max="3" width="19.54296875" customWidth="1"/>
    <col min="4" max="5" width="12.453125" customWidth="1"/>
  </cols>
  <sheetData>
    <row r="5" spans="2:10" ht="23.25" customHeight="1" x14ac:dyDescent="0.35">
      <c r="C5" s="423" t="s">
        <v>559</v>
      </c>
      <c r="D5" s="424"/>
      <c r="E5" s="411"/>
    </row>
    <row r="6" spans="2:10" ht="15" customHeight="1" x14ac:dyDescent="0.35">
      <c r="C6" s="352" t="s">
        <v>258</v>
      </c>
      <c r="D6" s="327" t="s">
        <v>6</v>
      </c>
      <c r="E6" s="341" t="s">
        <v>262</v>
      </c>
    </row>
    <row r="7" spans="2:10" x14ac:dyDescent="0.35">
      <c r="C7" s="352" t="s">
        <v>563</v>
      </c>
      <c r="D7" s="327">
        <f>'FINAL NPV, IRR, Payback'!E16+'FINAL NPV, IRR, Payback'!E19</f>
        <v>176820023.92708319</v>
      </c>
      <c r="E7" s="341">
        <f>'FINAL NPV, IRR, Payback'!F16+'FINAL NPV, IRR, Payback'!F19</f>
        <v>199410851.93047902</v>
      </c>
    </row>
    <row r="8" spans="2:10" x14ac:dyDescent="0.35">
      <c r="C8" s="352" t="s">
        <v>562</v>
      </c>
      <c r="D8" s="354">
        <v>55.95</v>
      </c>
      <c r="E8" s="355">
        <v>55.950099999999999</v>
      </c>
      <c r="F8">
        <v>55.950099999999999</v>
      </c>
    </row>
    <row r="9" spans="2:10" x14ac:dyDescent="0.35">
      <c r="B9" t="s">
        <v>564</v>
      </c>
      <c r="C9" s="352" t="s">
        <v>564</v>
      </c>
      <c r="D9" s="327">
        <f>D7/D8</f>
        <v>3160322.1434688685</v>
      </c>
      <c r="E9" s="341">
        <f>E7/E8</f>
        <v>3564083.9235404232</v>
      </c>
    </row>
    <row r="10" spans="2:10" x14ac:dyDescent="0.35">
      <c r="C10" s="352" t="s">
        <v>565</v>
      </c>
      <c r="D10" s="330">
        <f>'FINAL NPV, IRR, Payback'!E24</f>
        <v>58.208653592278068</v>
      </c>
      <c r="E10" s="345">
        <f>'FINAL NPV, IRR, Payback'!F24</f>
        <v>58.715725397297987</v>
      </c>
    </row>
    <row r="11" spans="2:10" x14ac:dyDescent="0.35">
      <c r="C11" s="353" t="s">
        <v>566</v>
      </c>
      <c r="D11" s="347">
        <f>D7/D10</f>
        <v>3037693.0750815384</v>
      </c>
      <c r="E11" s="348">
        <f>E7/E10</f>
        <v>3396208.6064878223</v>
      </c>
    </row>
    <row r="14" spans="2:10" x14ac:dyDescent="0.35">
      <c r="G14" t="s">
        <v>560</v>
      </c>
      <c r="H14" t="s">
        <v>561</v>
      </c>
    </row>
    <row r="15" spans="2:10" x14ac:dyDescent="0.35">
      <c r="C15" t="s">
        <v>567</v>
      </c>
      <c r="D15">
        <v>5.6</v>
      </c>
      <c r="F15">
        <v>5</v>
      </c>
      <c r="G15">
        <v>1</v>
      </c>
      <c r="H15">
        <v>4</v>
      </c>
      <c r="I15">
        <v>100</v>
      </c>
      <c r="J15">
        <f>I15/H15</f>
        <v>25</v>
      </c>
    </row>
    <row r="16" spans="2:10" x14ac:dyDescent="0.35">
      <c r="F16">
        <v>4</v>
      </c>
      <c r="G16">
        <v>1</v>
      </c>
      <c r="H16">
        <v>5</v>
      </c>
      <c r="I16">
        <v>100</v>
      </c>
      <c r="J16">
        <f>I16/H16</f>
        <v>20</v>
      </c>
    </row>
  </sheetData>
  <mergeCells count="1">
    <mergeCell ref="C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9A24-E545-4162-B882-D5D926A3956A}">
  <dimension ref="A1:R43"/>
  <sheetViews>
    <sheetView zoomScale="55" zoomScaleNormal="55" workbookViewId="0">
      <selection activeCell="L44" sqref="L44"/>
    </sheetView>
  </sheetViews>
  <sheetFormatPr defaultRowHeight="14.5" x14ac:dyDescent="0.35"/>
  <cols>
    <col min="2" max="2" width="41.26953125" bestFit="1" customWidth="1"/>
    <col min="3" max="3" width="13.7265625" bestFit="1" customWidth="1"/>
    <col min="4" max="4" width="15.54296875" bestFit="1" customWidth="1"/>
    <col min="5" max="5" width="15" bestFit="1" customWidth="1"/>
    <col min="6" max="8" width="11.26953125" bestFit="1" customWidth="1"/>
    <col min="12" max="12" width="41.26953125" bestFit="1" customWidth="1"/>
  </cols>
  <sheetData>
    <row r="1" spans="1:10" x14ac:dyDescent="0.35">
      <c r="A1" s="21"/>
      <c r="B1" s="21"/>
      <c r="C1" s="21"/>
      <c r="D1" s="21"/>
      <c r="E1" s="21"/>
      <c r="F1" s="21"/>
      <c r="G1" s="21"/>
      <c r="H1" s="21"/>
    </row>
    <row r="2" spans="1:10" x14ac:dyDescent="0.35">
      <c r="A2" s="22"/>
      <c r="B2" s="22"/>
      <c r="C2" s="22"/>
      <c r="D2" s="22"/>
      <c r="E2" s="22"/>
      <c r="F2" s="22"/>
      <c r="G2" s="22"/>
      <c r="H2" s="22"/>
    </row>
    <row r="3" spans="1:10" x14ac:dyDescent="0.35">
      <c r="A3" s="21"/>
      <c r="B3" s="21"/>
      <c r="C3" s="21"/>
      <c r="D3" s="21"/>
      <c r="E3" s="21"/>
      <c r="F3" s="21"/>
      <c r="G3" s="21"/>
      <c r="H3" s="21"/>
    </row>
    <row r="4" spans="1:10" x14ac:dyDescent="0.35">
      <c r="A4" s="21"/>
      <c r="B4" s="21"/>
      <c r="C4" s="21"/>
      <c r="D4" s="21"/>
      <c r="E4" s="21"/>
      <c r="F4" s="21"/>
      <c r="G4" s="21"/>
      <c r="H4" s="21"/>
    </row>
    <row r="5" spans="1:10" x14ac:dyDescent="0.35">
      <c r="A5" s="21" t="s">
        <v>293</v>
      </c>
      <c r="B5" s="14"/>
      <c r="C5" s="14"/>
      <c r="D5" s="14"/>
      <c r="E5" s="14"/>
      <c r="F5" s="14"/>
      <c r="G5" s="14"/>
      <c r="H5" s="14"/>
    </row>
    <row r="6" spans="1:10" x14ac:dyDescent="0.35">
      <c r="A6" s="15" t="s">
        <v>294</v>
      </c>
      <c r="B6" s="15" t="s">
        <v>295</v>
      </c>
      <c r="C6" s="15" t="s">
        <v>300</v>
      </c>
      <c r="D6" s="15" t="s">
        <v>301</v>
      </c>
      <c r="E6" s="15" t="s">
        <v>302</v>
      </c>
      <c r="F6" s="15" t="s">
        <v>303</v>
      </c>
      <c r="G6" s="15" t="s">
        <v>304</v>
      </c>
      <c r="H6" s="15" t="s">
        <v>305</v>
      </c>
    </row>
    <row r="7" spans="1:10" x14ac:dyDescent="0.35">
      <c r="A7" s="16" t="s">
        <v>261</v>
      </c>
      <c r="B7" s="35" t="s">
        <v>412</v>
      </c>
      <c r="C7" s="32">
        <v>186710.1</v>
      </c>
      <c r="D7" s="32">
        <v>186456.5</v>
      </c>
      <c r="E7" s="32">
        <v>187130.1</v>
      </c>
      <c r="F7" s="32">
        <v>202423.1</v>
      </c>
      <c r="G7" s="32">
        <v>212604.2</v>
      </c>
      <c r="H7" s="32">
        <v>223918.4</v>
      </c>
      <c r="J7" s="425" t="s">
        <v>340</v>
      </c>
    </row>
    <row r="8" spans="1:10" x14ac:dyDescent="0.35">
      <c r="A8" s="16" t="s">
        <v>261</v>
      </c>
      <c r="B8" s="35" t="s">
        <v>568</v>
      </c>
      <c r="C8" s="357">
        <v>52871.1</v>
      </c>
      <c r="D8" s="357">
        <v>55244</v>
      </c>
      <c r="E8" s="357">
        <v>55292.2</v>
      </c>
      <c r="F8" s="357">
        <v>59077.4</v>
      </c>
      <c r="G8" s="357">
        <v>66105.899999999994</v>
      </c>
      <c r="H8" s="358">
        <v>70578.899999999994</v>
      </c>
      <c r="J8" s="425"/>
    </row>
    <row r="9" spans="1:10" ht="15.5" x14ac:dyDescent="0.35">
      <c r="A9" s="16"/>
      <c r="B9" s="36"/>
      <c r="C9" s="33"/>
      <c r="D9" s="33"/>
      <c r="E9" s="33"/>
      <c r="F9" s="33"/>
      <c r="G9" s="33"/>
      <c r="H9" s="33"/>
      <c r="J9" s="425"/>
    </row>
    <row r="10" spans="1:10" ht="15.5" x14ac:dyDescent="0.35">
      <c r="A10" s="16"/>
      <c r="B10" s="36"/>
      <c r="C10" s="33"/>
      <c r="D10" s="33"/>
      <c r="E10" s="33"/>
      <c r="F10" s="33"/>
      <c r="G10" s="33"/>
      <c r="H10" s="33"/>
      <c r="J10" s="425"/>
    </row>
    <row r="11" spans="1:10" ht="15.5" x14ac:dyDescent="0.35">
      <c r="A11" s="16"/>
      <c r="B11" s="36"/>
      <c r="C11" s="33"/>
      <c r="D11" s="33"/>
      <c r="E11" s="33"/>
      <c r="F11" s="33"/>
      <c r="G11" s="33"/>
      <c r="H11" s="33"/>
      <c r="J11" s="425"/>
    </row>
    <row r="12" spans="1:10" ht="15.5" x14ac:dyDescent="0.35">
      <c r="A12" s="16"/>
      <c r="B12" s="36"/>
      <c r="C12" s="33"/>
      <c r="D12" s="33"/>
      <c r="E12" s="33"/>
      <c r="F12" s="33"/>
      <c r="G12" s="33"/>
      <c r="H12" s="33"/>
      <c r="J12" s="425"/>
    </row>
    <row r="13" spans="1:10" ht="15.5" x14ac:dyDescent="0.35">
      <c r="A13" s="16"/>
      <c r="B13" s="36"/>
      <c r="C13" s="33"/>
      <c r="D13" s="33"/>
      <c r="E13" s="33"/>
      <c r="F13" s="33"/>
      <c r="G13" s="33"/>
      <c r="H13" s="33"/>
      <c r="J13" s="425"/>
    </row>
    <row r="14" spans="1:10" ht="15.5" x14ac:dyDescent="0.35">
      <c r="A14" s="16"/>
      <c r="B14" s="36"/>
      <c r="C14" s="33"/>
      <c r="D14" s="33"/>
      <c r="E14" s="33"/>
      <c r="F14" s="33"/>
      <c r="G14" s="33"/>
      <c r="H14" s="33"/>
      <c r="J14" s="425"/>
    </row>
    <row r="15" spans="1:10" ht="15.5" x14ac:dyDescent="0.35">
      <c r="A15" s="16" t="s">
        <v>261</v>
      </c>
      <c r="B15" s="37" t="s">
        <v>413</v>
      </c>
      <c r="C15" s="34">
        <v>3.19</v>
      </c>
      <c r="D15" s="34">
        <v>3.15</v>
      </c>
      <c r="E15" s="34">
        <v>3.39</v>
      </c>
      <c r="F15" s="34">
        <v>3.4</v>
      </c>
      <c r="G15" s="34">
        <v>3.62</v>
      </c>
      <c r="H15" s="34">
        <v>3.89</v>
      </c>
    </row>
    <row r="16" spans="1:10" x14ac:dyDescent="0.35">
      <c r="A16" s="16" t="s">
        <v>261</v>
      </c>
      <c r="B16" s="20" t="s">
        <v>414</v>
      </c>
      <c r="C16" s="18">
        <v>2304.4</v>
      </c>
      <c r="D16" s="18">
        <v>1836.8</v>
      </c>
      <c r="E16" s="18">
        <v>1600.1</v>
      </c>
      <c r="F16" s="18">
        <v>1573.1</v>
      </c>
      <c r="G16" s="18">
        <v>1565.3</v>
      </c>
      <c r="H16" s="18">
        <v>1582.2</v>
      </c>
    </row>
    <row r="17" spans="1:18" x14ac:dyDescent="0.35">
      <c r="A17" s="16" t="s">
        <v>261</v>
      </c>
      <c r="B17" s="20" t="s">
        <v>415</v>
      </c>
      <c r="C17" s="18">
        <v>17516.599999999999</v>
      </c>
      <c r="D17" s="18">
        <v>15231.6</v>
      </c>
      <c r="E17" s="18">
        <v>15049</v>
      </c>
      <c r="F17" s="18">
        <v>16323.4</v>
      </c>
      <c r="G17" s="18">
        <v>16873.099999999999</v>
      </c>
      <c r="H17" s="18">
        <v>17564</v>
      </c>
    </row>
    <row r="18" spans="1:18" x14ac:dyDescent="0.35">
      <c r="A18" s="16" t="s">
        <v>261</v>
      </c>
      <c r="B18" s="19" t="s">
        <v>416</v>
      </c>
      <c r="C18" s="18">
        <v>21233.1</v>
      </c>
      <c r="D18" s="18">
        <v>19275</v>
      </c>
      <c r="E18" s="18">
        <v>20194.2</v>
      </c>
      <c r="F18" s="18">
        <v>21550.7</v>
      </c>
      <c r="G18" s="18">
        <v>22771.9</v>
      </c>
      <c r="H18" s="18">
        <v>24057.200000000001</v>
      </c>
    </row>
    <row r="19" spans="1:18" x14ac:dyDescent="0.35">
      <c r="A19" s="16" t="s">
        <v>261</v>
      </c>
      <c r="B19" s="19" t="s">
        <v>306</v>
      </c>
      <c r="C19" s="18">
        <v>85760.4</v>
      </c>
      <c r="D19" s="18">
        <v>88341.7</v>
      </c>
      <c r="E19" s="18">
        <v>89928.6</v>
      </c>
      <c r="F19" s="18">
        <v>97785.5</v>
      </c>
      <c r="G19" s="18">
        <v>102815.7</v>
      </c>
      <c r="H19" s="18">
        <v>109798.7</v>
      </c>
    </row>
    <row r="20" spans="1:18" x14ac:dyDescent="0.35">
      <c r="A20" s="16" t="s">
        <v>261</v>
      </c>
      <c r="B20" s="19" t="s">
        <v>323</v>
      </c>
      <c r="C20" s="18">
        <v>38142.300000000003</v>
      </c>
      <c r="D20" s="18">
        <v>39770.6</v>
      </c>
      <c r="E20" s="18">
        <v>37650.6</v>
      </c>
      <c r="F20" s="18">
        <v>40703.199999999997</v>
      </c>
      <c r="G20" s="18">
        <v>42920.4</v>
      </c>
      <c r="H20" s="18">
        <v>44003.3</v>
      </c>
    </row>
    <row r="21" spans="1:18" x14ac:dyDescent="0.35">
      <c r="C21" s="12">
        <f>SUM(C15:C20)</f>
        <v>164959.99</v>
      </c>
      <c r="D21" s="12">
        <f t="shared" ref="D21:H21" si="0">SUM(D15:D20)</f>
        <v>164458.85</v>
      </c>
      <c r="E21" s="12">
        <f t="shared" si="0"/>
        <v>164425.89000000001</v>
      </c>
      <c r="F21" s="12">
        <f t="shared" si="0"/>
        <v>177939.3</v>
      </c>
      <c r="G21" s="12">
        <f t="shared" si="0"/>
        <v>186950.02</v>
      </c>
      <c r="H21" s="12">
        <f t="shared" si="0"/>
        <v>197009.28999999998</v>
      </c>
    </row>
    <row r="22" spans="1:18" ht="15.5" x14ac:dyDescent="0.35">
      <c r="A22" s="23" t="s">
        <v>310</v>
      </c>
      <c r="B22" s="13"/>
      <c r="C22" s="31">
        <v>382.6</v>
      </c>
      <c r="D22" s="31">
        <v>389.5</v>
      </c>
      <c r="E22" s="31">
        <v>403.4</v>
      </c>
      <c r="F22" s="31">
        <v>421.4</v>
      </c>
      <c r="G22" s="31">
        <v>444.2</v>
      </c>
      <c r="H22" s="31">
        <v>477.3</v>
      </c>
      <c r="L22" s="15" t="s">
        <v>295</v>
      </c>
      <c r="M22" s="15" t="s">
        <v>300</v>
      </c>
      <c r="N22" s="15" t="s">
        <v>301</v>
      </c>
      <c r="O22" s="15" t="s">
        <v>302</v>
      </c>
      <c r="P22" s="15" t="s">
        <v>303</v>
      </c>
      <c r="Q22" s="15" t="s">
        <v>304</v>
      </c>
      <c r="R22" s="15" t="s">
        <v>305</v>
      </c>
    </row>
    <row r="23" spans="1:18" x14ac:dyDescent="0.35">
      <c r="A23" s="14" t="s">
        <v>311</v>
      </c>
      <c r="C23" s="30">
        <f>(H7/C7)^(1/6)-1</f>
        <v>3.0750755467239932E-2</v>
      </c>
      <c r="K23" s="426" t="s">
        <v>419</v>
      </c>
      <c r="L23" s="426"/>
      <c r="M23" s="15" t="s">
        <v>300</v>
      </c>
      <c r="N23" s="15" t="s">
        <v>301</v>
      </c>
      <c r="O23" s="15" t="s">
        <v>302</v>
      </c>
      <c r="P23" s="15" t="s">
        <v>303</v>
      </c>
      <c r="Q23" s="15" t="s">
        <v>304</v>
      </c>
      <c r="R23" s="15" t="s">
        <v>305</v>
      </c>
    </row>
    <row r="24" spans="1:18" x14ac:dyDescent="0.35">
      <c r="C24" t="s">
        <v>417</v>
      </c>
      <c r="K24" s="426" t="s">
        <v>420</v>
      </c>
      <c r="L24" s="19" t="s">
        <v>421</v>
      </c>
      <c r="M24" s="18">
        <v>41574.300000000003</v>
      </c>
      <c r="N24" s="18">
        <v>39069.199999999997</v>
      </c>
      <c r="O24" s="18">
        <v>39356.800000000003</v>
      </c>
      <c r="P24" s="18">
        <v>42383.7</v>
      </c>
      <c r="Q24" s="18">
        <v>44096.1</v>
      </c>
      <c r="R24" s="18">
        <v>46059.199999999997</v>
      </c>
    </row>
    <row r="25" spans="1:18" x14ac:dyDescent="0.35">
      <c r="A25" s="14" t="s">
        <v>418</v>
      </c>
      <c r="K25" s="426"/>
      <c r="L25" s="20" t="s">
        <v>422</v>
      </c>
      <c r="M25" s="18">
        <v>21753.3</v>
      </c>
      <c r="N25" s="18">
        <v>22000.799999999999</v>
      </c>
      <c r="O25" s="18">
        <v>22707.7</v>
      </c>
      <c r="P25" s="18">
        <v>24487.200000000001</v>
      </c>
      <c r="Q25" s="18">
        <v>25657.7</v>
      </c>
      <c r="R25" s="18">
        <v>26913</v>
      </c>
    </row>
    <row r="26" spans="1:18" x14ac:dyDescent="0.35">
      <c r="A26" s="14" t="s">
        <v>313</v>
      </c>
      <c r="K26" s="426"/>
      <c r="L26" s="20" t="s">
        <v>414</v>
      </c>
      <c r="M26" s="18">
        <v>2304.4</v>
      </c>
      <c r="N26" s="18">
        <v>1836.8</v>
      </c>
      <c r="O26" s="18">
        <v>1600.1</v>
      </c>
      <c r="P26" s="18">
        <v>1573.1</v>
      </c>
      <c r="Q26" s="18">
        <v>1565.3</v>
      </c>
      <c r="R26" s="18">
        <v>1582.2</v>
      </c>
    </row>
    <row r="27" spans="1:18" x14ac:dyDescent="0.35">
      <c r="K27" s="426"/>
      <c r="L27" s="20" t="s">
        <v>415</v>
      </c>
      <c r="M27" s="18">
        <v>17516.599999999999</v>
      </c>
      <c r="N27" s="18">
        <v>15231.6</v>
      </c>
      <c r="O27" s="18">
        <v>15049</v>
      </c>
      <c r="P27" s="18">
        <v>16323.4</v>
      </c>
      <c r="Q27" s="18">
        <v>16873.099999999999</v>
      </c>
      <c r="R27" s="18">
        <v>17564</v>
      </c>
    </row>
    <row r="28" spans="1:18" x14ac:dyDescent="0.35">
      <c r="K28" s="426" t="s">
        <v>416</v>
      </c>
      <c r="L28" s="426"/>
      <c r="M28" s="18">
        <v>21233.1</v>
      </c>
      <c r="N28" s="18">
        <v>19275</v>
      </c>
      <c r="O28" s="18">
        <v>20194.2</v>
      </c>
      <c r="P28" s="18">
        <v>21550.7</v>
      </c>
      <c r="Q28" s="18">
        <v>22771.9</v>
      </c>
      <c r="R28" s="18">
        <v>24057.200000000001</v>
      </c>
    </row>
    <row r="29" spans="1:18" x14ac:dyDescent="0.35">
      <c r="K29" s="426" t="s">
        <v>306</v>
      </c>
      <c r="L29" s="426"/>
      <c r="M29" s="18">
        <v>85760.4</v>
      </c>
      <c r="N29" s="18">
        <v>88341.7</v>
      </c>
      <c r="O29" s="18">
        <v>89928.6</v>
      </c>
      <c r="P29" s="18">
        <v>97785.5</v>
      </c>
      <c r="Q29" s="18">
        <v>102815.7</v>
      </c>
      <c r="R29" s="18">
        <v>109798.7</v>
      </c>
    </row>
    <row r="30" spans="1:18" x14ac:dyDescent="0.35">
      <c r="C30" s="15" t="s">
        <v>300</v>
      </c>
      <c r="D30" s="15" t="s">
        <v>301</v>
      </c>
      <c r="E30" s="15" t="s">
        <v>302</v>
      </c>
      <c r="F30" s="15" t="s">
        <v>303</v>
      </c>
      <c r="G30" s="15" t="s">
        <v>304</v>
      </c>
      <c r="H30" s="15" t="s">
        <v>305</v>
      </c>
      <c r="K30" s="426" t="s">
        <v>323</v>
      </c>
      <c r="L30" s="426"/>
      <c r="M30" s="18">
        <v>38142.300000000003</v>
      </c>
      <c r="N30" s="18">
        <v>39770.6</v>
      </c>
      <c r="O30" s="18">
        <v>37650.6</v>
      </c>
      <c r="P30" s="18">
        <v>40703.199999999997</v>
      </c>
      <c r="Q30" s="18">
        <v>42920.4</v>
      </c>
      <c r="R30" s="18">
        <v>44003.3</v>
      </c>
    </row>
    <row r="31" spans="1:18" x14ac:dyDescent="0.35">
      <c r="B31" s="20" t="s">
        <v>422</v>
      </c>
      <c r="C31" s="24">
        <v>21753.3</v>
      </c>
      <c r="D31" s="24">
        <v>22000.799999999999</v>
      </c>
      <c r="E31" s="24">
        <v>22707.7</v>
      </c>
      <c r="F31" s="24">
        <v>24487.200000000001</v>
      </c>
      <c r="G31" s="24">
        <v>25657.7</v>
      </c>
      <c r="H31" s="24">
        <v>26913</v>
      </c>
    </row>
    <row r="32" spans="1:18" x14ac:dyDescent="0.35">
      <c r="B32" s="20" t="s">
        <v>414</v>
      </c>
      <c r="C32" s="24">
        <v>2304.4</v>
      </c>
      <c r="D32" s="24">
        <v>1836.8</v>
      </c>
      <c r="E32" s="24">
        <v>1600.1</v>
      </c>
      <c r="F32" s="24">
        <v>1573.1</v>
      </c>
      <c r="G32" s="24">
        <v>1565.3</v>
      </c>
      <c r="H32" s="24">
        <v>1582.2</v>
      </c>
    </row>
    <row r="33" spans="2:17" x14ac:dyDescent="0.35">
      <c r="B33" s="20" t="s">
        <v>415</v>
      </c>
      <c r="C33" s="24">
        <v>17516.599999999999</v>
      </c>
      <c r="D33" s="24">
        <v>15231.6</v>
      </c>
      <c r="E33" s="24">
        <v>15049</v>
      </c>
      <c r="F33" s="24">
        <v>16323.4</v>
      </c>
      <c r="G33" s="24">
        <v>16873.099999999999</v>
      </c>
      <c r="H33" s="24">
        <v>17564</v>
      </c>
    </row>
    <row r="34" spans="2:17" x14ac:dyDescent="0.35">
      <c r="B34" s="19" t="s">
        <v>416</v>
      </c>
      <c r="C34" s="24">
        <v>21233.1</v>
      </c>
      <c r="D34" s="24">
        <v>19275</v>
      </c>
      <c r="E34" s="24">
        <v>20194.2</v>
      </c>
      <c r="F34" s="24">
        <v>21550.7</v>
      </c>
      <c r="G34" s="24">
        <v>22771.9</v>
      </c>
      <c r="H34" s="24">
        <v>24057.200000000001</v>
      </c>
    </row>
    <row r="35" spans="2:17" ht="84.75" customHeight="1" x14ac:dyDescent="0.35">
      <c r="B35" s="19" t="s">
        <v>306</v>
      </c>
      <c r="C35" s="24">
        <v>85760.4</v>
      </c>
      <c r="D35" s="24">
        <v>88341.7</v>
      </c>
      <c r="E35" s="24">
        <v>89928.6</v>
      </c>
      <c r="F35" s="24">
        <v>97785.5</v>
      </c>
      <c r="G35" s="24">
        <v>102815.7</v>
      </c>
      <c r="H35" s="24">
        <v>109798.7</v>
      </c>
    </row>
    <row r="36" spans="2:17" x14ac:dyDescent="0.35">
      <c r="B36" s="19" t="s">
        <v>323</v>
      </c>
      <c r="C36" s="24">
        <v>38142.300000000003</v>
      </c>
      <c r="D36" s="24">
        <v>39770.6</v>
      </c>
      <c r="E36" s="24">
        <v>37650.6</v>
      </c>
      <c r="F36" s="24">
        <v>40703.199999999997</v>
      </c>
      <c r="G36" s="24">
        <v>42920.4</v>
      </c>
      <c r="H36" s="24">
        <v>44003.3</v>
      </c>
    </row>
    <row r="37" spans="2:17" x14ac:dyDescent="0.35">
      <c r="B37" s="17" t="s">
        <v>419</v>
      </c>
      <c r="C37" s="18">
        <v>186710.1</v>
      </c>
      <c r="D37" s="18">
        <v>186456.5</v>
      </c>
      <c r="E37" s="18">
        <v>187130.1</v>
      </c>
      <c r="F37" s="18">
        <v>202423.1</v>
      </c>
      <c r="G37" s="18">
        <v>212604.2</v>
      </c>
      <c r="H37" s="18">
        <v>223918.4</v>
      </c>
    </row>
    <row r="40" spans="2:17" x14ac:dyDescent="0.35">
      <c r="B40" s="3" t="s">
        <v>2</v>
      </c>
      <c r="C40" s="4" t="s">
        <v>3</v>
      </c>
      <c r="D40" s="5" t="s">
        <v>4</v>
      </c>
      <c r="E40" s="6" t="s">
        <v>5</v>
      </c>
    </row>
    <row r="41" spans="2:17" ht="43.5" x14ac:dyDescent="0.35">
      <c r="B41" t="s">
        <v>423</v>
      </c>
      <c r="C41" s="28" t="str">
        <f>B36</f>
        <v>Sweet Biscuits, Snack Bars and Fruit Snacks</v>
      </c>
      <c r="D41" s="26" t="str">
        <f>B33</f>
        <v>Sugar Confectionery</v>
      </c>
      <c r="E41" s="27" t="str">
        <f>B35</f>
        <v>Savoury Snacks</v>
      </c>
    </row>
    <row r="42" spans="2:17" x14ac:dyDescent="0.35">
      <c r="L42" s="15" t="s">
        <v>300</v>
      </c>
      <c r="M42" s="15" t="s">
        <v>301</v>
      </c>
      <c r="N42" s="15" t="s">
        <v>302</v>
      </c>
      <c r="O42" s="15" t="s">
        <v>303</v>
      </c>
      <c r="P42" s="15" t="s">
        <v>304</v>
      </c>
      <c r="Q42" s="15" t="s">
        <v>305</v>
      </c>
    </row>
    <row r="43" spans="2:17" x14ac:dyDescent="0.35">
      <c r="L43" s="357">
        <v>52871.1</v>
      </c>
      <c r="M43" s="357">
        <v>55244</v>
      </c>
      <c r="N43" s="357">
        <v>55292.2</v>
      </c>
      <c r="O43" s="357">
        <v>59077.4</v>
      </c>
      <c r="P43" s="357">
        <v>66105.899999999994</v>
      </c>
      <c r="Q43" s="358">
        <v>70578.899999999994</v>
      </c>
    </row>
  </sheetData>
  <mergeCells count="6">
    <mergeCell ref="J7:J14"/>
    <mergeCell ref="K24:K27"/>
    <mergeCell ref="K28:L28"/>
    <mergeCell ref="K29:L29"/>
    <mergeCell ref="K30:L30"/>
    <mergeCell ref="K23:L2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96189-B622-468D-808F-52425DF306AB}">
  <dimension ref="A1:O63"/>
  <sheetViews>
    <sheetView workbookViewId="0">
      <selection activeCell="E25" sqref="E25"/>
    </sheetView>
  </sheetViews>
  <sheetFormatPr defaultRowHeight="12.5" x14ac:dyDescent="0.35"/>
  <cols>
    <col min="1" max="1" width="12.1796875" style="279" customWidth="1"/>
    <col min="2" max="2" width="14.453125" style="279" customWidth="1"/>
    <col min="3" max="3" width="13.7265625" style="279" customWidth="1"/>
    <col min="4" max="4" width="9.1796875" style="279" customWidth="1"/>
    <col min="5" max="5" width="16.54296875" style="279" customWidth="1"/>
    <col min="6" max="12" width="7.453125" style="279" customWidth="1"/>
    <col min="13" max="256" width="9" style="279"/>
    <col min="257" max="257" width="12.1796875" style="279" customWidth="1"/>
    <col min="258" max="258" width="14.453125" style="279" customWidth="1"/>
    <col min="259" max="259" width="13.7265625" style="279" customWidth="1"/>
    <col min="260" max="260" width="9.1796875" style="279" customWidth="1"/>
    <col min="261" max="261" width="16.54296875" style="279" customWidth="1"/>
    <col min="262" max="268" width="7.453125" style="279" customWidth="1"/>
    <col min="269" max="512" width="9" style="279"/>
    <col min="513" max="513" width="12.1796875" style="279" customWidth="1"/>
    <col min="514" max="514" width="14.453125" style="279" customWidth="1"/>
    <col min="515" max="515" width="13.7265625" style="279" customWidth="1"/>
    <col min="516" max="516" width="9.1796875" style="279" customWidth="1"/>
    <col min="517" max="517" width="16.54296875" style="279" customWidth="1"/>
    <col min="518" max="524" width="7.453125" style="279" customWidth="1"/>
    <col min="525" max="768" width="9" style="279"/>
    <col min="769" max="769" width="12.1796875" style="279" customWidth="1"/>
    <col min="770" max="770" width="14.453125" style="279" customWidth="1"/>
    <col min="771" max="771" width="13.7265625" style="279" customWidth="1"/>
    <col min="772" max="772" width="9.1796875" style="279" customWidth="1"/>
    <col min="773" max="773" width="16.54296875" style="279" customWidth="1"/>
    <col min="774" max="780" width="7.453125" style="279" customWidth="1"/>
    <col min="781" max="1024" width="9" style="279"/>
    <col min="1025" max="1025" width="12.1796875" style="279" customWidth="1"/>
    <col min="1026" max="1026" width="14.453125" style="279" customWidth="1"/>
    <col min="1027" max="1027" width="13.7265625" style="279" customWidth="1"/>
    <col min="1028" max="1028" width="9.1796875" style="279" customWidth="1"/>
    <col min="1029" max="1029" width="16.54296875" style="279" customWidth="1"/>
    <col min="1030" max="1036" width="7.453125" style="279" customWidth="1"/>
    <col min="1037" max="1280" width="9" style="279"/>
    <col min="1281" max="1281" width="12.1796875" style="279" customWidth="1"/>
    <col min="1282" max="1282" width="14.453125" style="279" customWidth="1"/>
    <col min="1283" max="1283" width="13.7265625" style="279" customWidth="1"/>
    <col min="1284" max="1284" width="9.1796875" style="279" customWidth="1"/>
    <col min="1285" max="1285" width="16.54296875" style="279" customWidth="1"/>
    <col min="1286" max="1292" width="7.453125" style="279" customWidth="1"/>
    <col min="1293" max="1536" width="9" style="279"/>
    <col min="1537" max="1537" width="12.1796875" style="279" customWidth="1"/>
    <col min="1538" max="1538" width="14.453125" style="279" customWidth="1"/>
    <col min="1539" max="1539" width="13.7265625" style="279" customWidth="1"/>
    <col min="1540" max="1540" width="9.1796875" style="279" customWidth="1"/>
    <col min="1541" max="1541" width="16.54296875" style="279" customWidth="1"/>
    <col min="1542" max="1548" width="7.453125" style="279" customWidth="1"/>
    <col min="1549" max="1792" width="9" style="279"/>
    <col min="1793" max="1793" width="12.1796875" style="279" customWidth="1"/>
    <col min="1794" max="1794" width="14.453125" style="279" customWidth="1"/>
    <col min="1795" max="1795" width="13.7265625" style="279" customWidth="1"/>
    <col min="1796" max="1796" width="9.1796875" style="279" customWidth="1"/>
    <col min="1797" max="1797" width="16.54296875" style="279" customWidth="1"/>
    <col min="1798" max="1804" width="7.453125" style="279" customWidth="1"/>
    <col min="1805" max="2048" width="9" style="279"/>
    <col min="2049" max="2049" width="12.1796875" style="279" customWidth="1"/>
    <col min="2050" max="2050" width="14.453125" style="279" customWidth="1"/>
    <col min="2051" max="2051" width="13.7265625" style="279" customWidth="1"/>
    <col min="2052" max="2052" width="9.1796875" style="279" customWidth="1"/>
    <col min="2053" max="2053" width="16.54296875" style="279" customWidth="1"/>
    <col min="2054" max="2060" width="7.453125" style="279" customWidth="1"/>
    <col min="2061" max="2304" width="9" style="279"/>
    <col min="2305" max="2305" width="12.1796875" style="279" customWidth="1"/>
    <col min="2306" max="2306" width="14.453125" style="279" customWidth="1"/>
    <col min="2307" max="2307" width="13.7265625" style="279" customWidth="1"/>
    <col min="2308" max="2308" width="9.1796875" style="279" customWidth="1"/>
    <col min="2309" max="2309" width="16.54296875" style="279" customWidth="1"/>
    <col min="2310" max="2316" width="7.453125" style="279" customWidth="1"/>
    <col min="2317" max="2560" width="9" style="279"/>
    <col min="2561" max="2561" width="12.1796875" style="279" customWidth="1"/>
    <col min="2562" max="2562" width="14.453125" style="279" customWidth="1"/>
    <col min="2563" max="2563" width="13.7265625" style="279" customWidth="1"/>
    <col min="2564" max="2564" width="9.1796875" style="279" customWidth="1"/>
    <col min="2565" max="2565" width="16.54296875" style="279" customWidth="1"/>
    <col min="2566" max="2572" width="7.453125" style="279" customWidth="1"/>
    <col min="2573" max="2816" width="9" style="279"/>
    <col min="2817" max="2817" width="12.1796875" style="279" customWidth="1"/>
    <col min="2818" max="2818" width="14.453125" style="279" customWidth="1"/>
    <col min="2819" max="2819" width="13.7265625" style="279" customWidth="1"/>
    <col min="2820" max="2820" width="9.1796875" style="279" customWidth="1"/>
    <col min="2821" max="2821" width="16.54296875" style="279" customWidth="1"/>
    <col min="2822" max="2828" width="7.453125" style="279" customWidth="1"/>
    <col min="2829" max="3072" width="9" style="279"/>
    <col min="3073" max="3073" width="12.1796875" style="279" customWidth="1"/>
    <col min="3074" max="3074" width="14.453125" style="279" customWidth="1"/>
    <col min="3075" max="3075" width="13.7265625" style="279" customWidth="1"/>
    <col min="3076" max="3076" width="9.1796875" style="279" customWidth="1"/>
    <col min="3077" max="3077" width="16.54296875" style="279" customWidth="1"/>
    <col min="3078" max="3084" width="7.453125" style="279" customWidth="1"/>
    <col min="3085" max="3328" width="9" style="279"/>
    <col min="3329" max="3329" width="12.1796875" style="279" customWidth="1"/>
    <col min="3330" max="3330" width="14.453125" style="279" customWidth="1"/>
    <col min="3331" max="3331" width="13.7265625" style="279" customWidth="1"/>
    <col min="3332" max="3332" width="9.1796875" style="279" customWidth="1"/>
    <col min="3333" max="3333" width="16.54296875" style="279" customWidth="1"/>
    <col min="3334" max="3340" width="7.453125" style="279" customWidth="1"/>
    <col min="3341" max="3584" width="9" style="279"/>
    <col min="3585" max="3585" width="12.1796875" style="279" customWidth="1"/>
    <col min="3586" max="3586" width="14.453125" style="279" customWidth="1"/>
    <col min="3587" max="3587" width="13.7265625" style="279" customWidth="1"/>
    <col min="3588" max="3588" width="9.1796875" style="279" customWidth="1"/>
    <col min="3589" max="3589" width="16.54296875" style="279" customWidth="1"/>
    <col min="3590" max="3596" width="7.453125" style="279" customWidth="1"/>
    <col min="3597" max="3840" width="9" style="279"/>
    <col min="3841" max="3841" width="12.1796875" style="279" customWidth="1"/>
    <col min="3842" max="3842" width="14.453125" style="279" customWidth="1"/>
    <col min="3843" max="3843" width="13.7265625" style="279" customWidth="1"/>
    <col min="3844" max="3844" width="9.1796875" style="279" customWidth="1"/>
    <col min="3845" max="3845" width="16.54296875" style="279" customWidth="1"/>
    <col min="3846" max="3852" width="7.453125" style="279" customWidth="1"/>
    <col min="3853" max="4096" width="9" style="279"/>
    <col min="4097" max="4097" width="12.1796875" style="279" customWidth="1"/>
    <col min="4098" max="4098" width="14.453125" style="279" customWidth="1"/>
    <col min="4099" max="4099" width="13.7265625" style="279" customWidth="1"/>
    <col min="4100" max="4100" width="9.1796875" style="279" customWidth="1"/>
    <col min="4101" max="4101" width="16.54296875" style="279" customWidth="1"/>
    <col min="4102" max="4108" width="7.453125" style="279" customWidth="1"/>
    <col min="4109" max="4352" width="9" style="279"/>
    <col min="4353" max="4353" width="12.1796875" style="279" customWidth="1"/>
    <col min="4354" max="4354" width="14.453125" style="279" customWidth="1"/>
    <col min="4355" max="4355" width="13.7265625" style="279" customWidth="1"/>
    <col min="4356" max="4356" width="9.1796875" style="279" customWidth="1"/>
    <col min="4357" max="4357" width="16.54296875" style="279" customWidth="1"/>
    <col min="4358" max="4364" width="7.453125" style="279" customWidth="1"/>
    <col min="4365" max="4608" width="9" style="279"/>
    <col min="4609" max="4609" width="12.1796875" style="279" customWidth="1"/>
    <col min="4610" max="4610" width="14.453125" style="279" customWidth="1"/>
    <col min="4611" max="4611" width="13.7265625" style="279" customWidth="1"/>
    <col min="4612" max="4612" width="9.1796875" style="279" customWidth="1"/>
    <col min="4613" max="4613" width="16.54296875" style="279" customWidth="1"/>
    <col min="4614" max="4620" width="7.453125" style="279" customWidth="1"/>
    <col min="4621" max="4864" width="9" style="279"/>
    <col min="4865" max="4865" width="12.1796875" style="279" customWidth="1"/>
    <col min="4866" max="4866" width="14.453125" style="279" customWidth="1"/>
    <col min="4867" max="4867" width="13.7265625" style="279" customWidth="1"/>
    <col min="4868" max="4868" width="9.1796875" style="279" customWidth="1"/>
    <col min="4869" max="4869" width="16.54296875" style="279" customWidth="1"/>
    <col min="4870" max="4876" width="7.453125" style="279" customWidth="1"/>
    <col min="4877" max="5120" width="9" style="279"/>
    <col min="5121" max="5121" width="12.1796875" style="279" customWidth="1"/>
    <col min="5122" max="5122" width="14.453125" style="279" customWidth="1"/>
    <col min="5123" max="5123" width="13.7265625" style="279" customWidth="1"/>
    <col min="5124" max="5124" width="9.1796875" style="279" customWidth="1"/>
    <col min="5125" max="5125" width="16.54296875" style="279" customWidth="1"/>
    <col min="5126" max="5132" width="7.453125" style="279" customWidth="1"/>
    <col min="5133" max="5376" width="9" style="279"/>
    <col min="5377" max="5377" width="12.1796875" style="279" customWidth="1"/>
    <col min="5378" max="5378" width="14.453125" style="279" customWidth="1"/>
    <col min="5379" max="5379" width="13.7265625" style="279" customWidth="1"/>
    <col min="5380" max="5380" width="9.1796875" style="279" customWidth="1"/>
    <col min="5381" max="5381" width="16.54296875" style="279" customWidth="1"/>
    <col min="5382" max="5388" width="7.453125" style="279" customWidth="1"/>
    <col min="5389" max="5632" width="9" style="279"/>
    <col min="5633" max="5633" width="12.1796875" style="279" customWidth="1"/>
    <col min="5634" max="5634" width="14.453125" style="279" customWidth="1"/>
    <col min="5635" max="5635" width="13.7265625" style="279" customWidth="1"/>
    <col min="5636" max="5636" width="9.1796875" style="279" customWidth="1"/>
    <col min="5637" max="5637" width="16.54296875" style="279" customWidth="1"/>
    <col min="5638" max="5644" width="7.453125" style="279" customWidth="1"/>
    <col min="5645" max="5888" width="9" style="279"/>
    <col min="5889" max="5889" width="12.1796875" style="279" customWidth="1"/>
    <col min="5890" max="5890" width="14.453125" style="279" customWidth="1"/>
    <col min="5891" max="5891" width="13.7265625" style="279" customWidth="1"/>
    <col min="5892" max="5892" width="9.1796875" style="279" customWidth="1"/>
    <col min="5893" max="5893" width="16.54296875" style="279" customWidth="1"/>
    <col min="5894" max="5900" width="7.453125" style="279" customWidth="1"/>
    <col min="5901" max="6144" width="9" style="279"/>
    <col min="6145" max="6145" width="12.1796875" style="279" customWidth="1"/>
    <col min="6146" max="6146" width="14.453125" style="279" customWidth="1"/>
    <col min="6147" max="6147" width="13.7265625" style="279" customWidth="1"/>
    <col min="6148" max="6148" width="9.1796875" style="279" customWidth="1"/>
    <col min="6149" max="6149" width="16.54296875" style="279" customWidth="1"/>
    <col min="6150" max="6156" width="7.453125" style="279" customWidth="1"/>
    <col min="6157" max="6400" width="9" style="279"/>
    <col min="6401" max="6401" width="12.1796875" style="279" customWidth="1"/>
    <col min="6402" max="6402" width="14.453125" style="279" customWidth="1"/>
    <col min="6403" max="6403" width="13.7265625" style="279" customWidth="1"/>
    <col min="6404" max="6404" width="9.1796875" style="279" customWidth="1"/>
    <col min="6405" max="6405" width="16.54296875" style="279" customWidth="1"/>
    <col min="6406" max="6412" width="7.453125" style="279" customWidth="1"/>
    <col min="6413" max="6656" width="9" style="279"/>
    <col min="6657" max="6657" width="12.1796875" style="279" customWidth="1"/>
    <col min="6658" max="6658" width="14.453125" style="279" customWidth="1"/>
    <col min="6659" max="6659" width="13.7265625" style="279" customWidth="1"/>
    <col min="6660" max="6660" width="9.1796875" style="279" customWidth="1"/>
    <col min="6661" max="6661" width="16.54296875" style="279" customWidth="1"/>
    <col min="6662" max="6668" width="7.453125" style="279" customWidth="1"/>
    <col min="6669" max="6912" width="9" style="279"/>
    <col min="6913" max="6913" width="12.1796875" style="279" customWidth="1"/>
    <col min="6914" max="6914" width="14.453125" style="279" customWidth="1"/>
    <col min="6915" max="6915" width="13.7265625" style="279" customWidth="1"/>
    <col min="6916" max="6916" width="9.1796875" style="279" customWidth="1"/>
    <col min="6917" max="6917" width="16.54296875" style="279" customWidth="1"/>
    <col min="6918" max="6924" width="7.453125" style="279" customWidth="1"/>
    <col min="6925" max="7168" width="9" style="279"/>
    <col min="7169" max="7169" width="12.1796875" style="279" customWidth="1"/>
    <col min="7170" max="7170" width="14.453125" style="279" customWidth="1"/>
    <col min="7171" max="7171" width="13.7265625" style="279" customWidth="1"/>
    <col min="7172" max="7172" width="9.1796875" style="279" customWidth="1"/>
    <col min="7173" max="7173" width="16.54296875" style="279" customWidth="1"/>
    <col min="7174" max="7180" width="7.453125" style="279" customWidth="1"/>
    <col min="7181" max="7424" width="9" style="279"/>
    <col min="7425" max="7425" width="12.1796875" style="279" customWidth="1"/>
    <col min="7426" max="7426" width="14.453125" style="279" customWidth="1"/>
    <col min="7427" max="7427" width="13.7265625" style="279" customWidth="1"/>
    <col min="7428" max="7428" width="9.1796875" style="279" customWidth="1"/>
    <col min="7429" max="7429" width="16.54296875" style="279" customWidth="1"/>
    <col min="7430" max="7436" width="7.453125" style="279" customWidth="1"/>
    <col min="7437" max="7680" width="9" style="279"/>
    <col min="7681" max="7681" width="12.1796875" style="279" customWidth="1"/>
    <col min="7682" max="7682" width="14.453125" style="279" customWidth="1"/>
    <col min="7683" max="7683" width="13.7265625" style="279" customWidth="1"/>
    <col min="7684" max="7684" width="9.1796875" style="279" customWidth="1"/>
    <col min="7685" max="7685" width="16.54296875" style="279" customWidth="1"/>
    <col min="7686" max="7692" width="7.453125" style="279" customWidth="1"/>
    <col min="7693" max="7936" width="9" style="279"/>
    <col min="7937" max="7937" width="12.1796875" style="279" customWidth="1"/>
    <col min="7938" max="7938" width="14.453125" style="279" customWidth="1"/>
    <col min="7939" max="7939" width="13.7265625" style="279" customWidth="1"/>
    <col min="7940" max="7940" width="9.1796875" style="279" customWidth="1"/>
    <col min="7941" max="7941" width="16.54296875" style="279" customWidth="1"/>
    <col min="7942" max="7948" width="7.453125" style="279" customWidth="1"/>
    <col min="7949" max="8192" width="9" style="279"/>
    <col min="8193" max="8193" width="12.1796875" style="279" customWidth="1"/>
    <col min="8194" max="8194" width="14.453125" style="279" customWidth="1"/>
    <col min="8195" max="8195" width="13.7265625" style="279" customWidth="1"/>
    <col min="8196" max="8196" width="9.1796875" style="279" customWidth="1"/>
    <col min="8197" max="8197" width="16.54296875" style="279" customWidth="1"/>
    <col min="8198" max="8204" width="7.453125" style="279" customWidth="1"/>
    <col min="8205" max="8448" width="9" style="279"/>
    <col min="8449" max="8449" width="12.1796875" style="279" customWidth="1"/>
    <col min="8450" max="8450" width="14.453125" style="279" customWidth="1"/>
    <col min="8451" max="8451" width="13.7265625" style="279" customWidth="1"/>
    <col min="8452" max="8452" width="9.1796875" style="279" customWidth="1"/>
    <col min="8453" max="8453" width="16.54296875" style="279" customWidth="1"/>
    <col min="8454" max="8460" width="7.453125" style="279" customWidth="1"/>
    <col min="8461" max="8704" width="9" style="279"/>
    <col min="8705" max="8705" width="12.1796875" style="279" customWidth="1"/>
    <col min="8706" max="8706" width="14.453125" style="279" customWidth="1"/>
    <col min="8707" max="8707" width="13.7265625" style="279" customWidth="1"/>
    <col min="8708" max="8708" width="9.1796875" style="279" customWidth="1"/>
    <col min="8709" max="8709" width="16.54296875" style="279" customWidth="1"/>
    <col min="8710" max="8716" width="7.453125" style="279" customWidth="1"/>
    <col min="8717" max="8960" width="9" style="279"/>
    <col min="8961" max="8961" width="12.1796875" style="279" customWidth="1"/>
    <col min="8962" max="8962" width="14.453125" style="279" customWidth="1"/>
    <col min="8963" max="8963" width="13.7265625" style="279" customWidth="1"/>
    <col min="8964" max="8964" width="9.1796875" style="279" customWidth="1"/>
    <col min="8965" max="8965" width="16.54296875" style="279" customWidth="1"/>
    <col min="8966" max="8972" width="7.453125" style="279" customWidth="1"/>
    <col min="8973" max="9216" width="9" style="279"/>
    <col min="9217" max="9217" width="12.1796875" style="279" customWidth="1"/>
    <col min="9218" max="9218" width="14.453125" style="279" customWidth="1"/>
    <col min="9219" max="9219" width="13.7265625" style="279" customWidth="1"/>
    <col min="9220" max="9220" width="9.1796875" style="279" customWidth="1"/>
    <col min="9221" max="9221" width="16.54296875" style="279" customWidth="1"/>
    <col min="9222" max="9228" width="7.453125" style="279" customWidth="1"/>
    <col min="9229" max="9472" width="9" style="279"/>
    <col min="9473" max="9473" width="12.1796875" style="279" customWidth="1"/>
    <col min="9474" max="9474" width="14.453125" style="279" customWidth="1"/>
    <col min="9475" max="9475" width="13.7265625" style="279" customWidth="1"/>
    <col min="9476" max="9476" width="9.1796875" style="279" customWidth="1"/>
    <col min="9477" max="9477" width="16.54296875" style="279" customWidth="1"/>
    <col min="9478" max="9484" width="7.453125" style="279" customWidth="1"/>
    <col min="9485" max="9728" width="9" style="279"/>
    <col min="9729" max="9729" width="12.1796875" style="279" customWidth="1"/>
    <col min="9730" max="9730" width="14.453125" style="279" customWidth="1"/>
    <col min="9731" max="9731" width="13.7265625" style="279" customWidth="1"/>
    <col min="9732" max="9732" width="9.1796875" style="279" customWidth="1"/>
    <col min="9733" max="9733" width="16.54296875" style="279" customWidth="1"/>
    <col min="9734" max="9740" width="7.453125" style="279" customWidth="1"/>
    <col min="9741" max="9984" width="9" style="279"/>
    <col min="9985" max="9985" width="12.1796875" style="279" customWidth="1"/>
    <col min="9986" max="9986" width="14.453125" style="279" customWidth="1"/>
    <col min="9987" max="9987" width="13.7265625" style="279" customWidth="1"/>
    <col min="9988" max="9988" width="9.1796875" style="279" customWidth="1"/>
    <col min="9989" max="9989" width="16.54296875" style="279" customWidth="1"/>
    <col min="9990" max="9996" width="7.453125" style="279" customWidth="1"/>
    <col min="9997" max="10240" width="9" style="279"/>
    <col min="10241" max="10241" width="12.1796875" style="279" customWidth="1"/>
    <col min="10242" max="10242" width="14.453125" style="279" customWidth="1"/>
    <col min="10243" max="10243" width="13.7265625" style="279" customWidth="1"/>
    <col min="10244" max="10244" width="9.1796875" style="279" customWidth="1"/>
    <col min="10245" max="10245" width="16.54296875" style="279" customWidth="1"/>
    <col min="10246" max="10252" width="7.453125" style="279" customWidth="1"/>
    <col min="10253" max="10496" width="9" style="279"/>
    <col min="10497" max="10497" width="12.1796875" style="279" customWidth="1"/>
    <col min="10498" max="10498" width="14.453125" style="279" customWidth="1"/>
    <col min="10499" max="10499" width="13.7265625" style="279" customWidth="1"/>
    <col min="10500" max="10500" width="9.1796875" style="279" customWidth="1"/>
    <col min="10501" max="10501" width="16.54296875" style="279" customWidth="1"/>
    <col min="10502" max="10508" width="7.453125" style="279" customWidth="1"/>
    <col min="10509" max="10752" width="9" style="279"/>
    <col min="10753" max="10753" width="12.1796875" style="279" customWidth="1"/>
    <col min="10754" max="10754" width="14.453125" style="279" customWidth="1"/>
    <col min="10755" max="10755" width="13.7265625" style="279" customWidth="1"/>
    <col min="10756" max="10756" width="9.1796875" style="279" customWidth="1"/>
    <col min="10757" max="10757" width="16.54296875" style="279" customWidth="1"/>
    <col min="10758" max="10764" width="7.453125" style="279" customWidth="1"/>
    <col min="10765" max="11008" width="9" style="279"/>
    <col min="11009" max="11009" width="12.1796875" style="279" customWidth="1"/>
    <col min="11010" max="11010" width="14.453125" style="279" customWidth="1"/>
    <col min="11011" max="11011" width="13.7265625" style="279" customWidth="1"/>
    <col min="11012" max="11012" width="9.1796875" style="279" customWidth="1"/>
    <col min="11013" max="11013" width="16.54296875" style="279" customWidth="1"/>
    <col min="11014" max="11020" width="7.453125" style="279" customWidth="1"/>
    <col min="11021" max="11264" width="9" style="279"/>
    <col min="11265" max="11265" width="12.1796875" style="279" customWidth="1"/>
    <col min="11266" max="11266" width="14.453125" style="279" customWidth="1"/>
    <col min="11267" max="11267" width="13.7265625" style="279" customWidth="1"/>
    <col min="11268" max="11268" width="9.1796875" style="279" customWidth="1"/>
    <col min="11269" max="11269" width="16.54296875" style="279" customWidth="1"/>
    <col min="11270" max="11276" width="7.453125" style="279" customWidth="1"/>
    <col min="11277" max="11520" width="9" style="279"/>
    <col min="11521" max="11521" width="12.1796875" style="279" customWidth="1"/>
    <col min="11522" max="11522" width="14.453125" style="279" customWidth="1"/>
    <col min="11523" max="11523" width="13.7265625" style="279" customWidth="1"/>
    <col min="11524" max="11524" width="9.1796875" style="279" customWidth="1"/>
    <col min="11525" max="11525" width="16.54296875" style="279" customWidth="1"/>
    <col min="11526" max="11532" width="7.453125" style="279" customWidth="1"/>
    <col min="11533" max="11776" width="9" style="279"/>
    <col min="11777" max="11777" width="12.1796875" style="279" customWidth="1"/>
    <col min="11778" max="11778" width="14.453125" style="279" customWidth="1"/>
    <col min="11779" max="11779" width="13.7265625" style="279" customWidth="1"/>
    <col min="11780" max="11780" width="9.1796875" style="279" customWidth="1"/>
    <col min="11781" max="11781" width="16.54296875" style="279" customWidth="1"/>
    <col min="11782" max="11788" width="7.453125" style="279" customWidth="1"/>
    <col min="11789" max="12032" width="9" style="279"/>
    <col min="12033" max="12033" width="12.1796875" style="279" customWidth="1"/>
    <col min="12034" max="12034" width="14.453125" style="279" customWidth="1"/>
    <col min="12035" max="12035" width="13.7265625" style="279" customWidth="1"/>
    <col min="12036" max="12036" width="9.1796875" style="279" customWidth="1"/>
    <col min="12037" max="12037" width="16.54296875" style="279" customWidth="1"/>
    <col min="12038" max="12044" width="7.453125" style="279" customWidth="1"/>
    <col min="12045" max="12288" width="9" style="279"/>
    <col min="12289" max="12289" width="12.1796875" style="279" customWidth="1"/>
    <col min="12290" max="12290" width="14.453125" style="279" customWidth="1"/>
    <col min="12291" max="12291" width="13.7265625" style="279" customWidth="1"/>
    <col min="12292" max="12292" width="9.1796875" style="279" customWidth="1"/>
    <col min="12293" max="12293" width="16.54296875" style="279" customWidth="1"/>
    <col min="12294" max="12300" width="7.453125" style="279" customWidth="1"/>
    <col min="12301" max="12544" width="9" style="279"/>
    <col min="12545" max="12545" width="12.1796875" style="279" customWidth="1"/>
    <col min="12546" max="12546" width="14.453125" style="279" customWidth="1"/>
    <col min="12547" max="12547" width="13.7265625" style="279" customWidth="1"/>
    <col min="12548" max="12548" width="9.1796875" style="279" customWidth="1"/>
    <col min="12549" max="12549" width="16.54296875" style="279" customWidth="1"/>
    <col min="12550" max="12556" width="7.453125" style="279" customWidth="1"/>
    <col min="12557" max="12800" width="9" style="279"/>
    <col min="12801" max="12801" width="12.1796875" style="279" customWidth="1"/>
    <col min="12802" max="12802" width="14.453125" style="279" customWidth="1"/>
    <col min="12803" max="12803" width="13.7265625" style="279" customWidth="1"/>
    <col min="12804" max="12804" width="9.1796875" style="279" customWidth="1"/>
    <col min="12805" max="12805" width="16.54296875" style="279" customWidth="1"/>
    <col min="12806" max="12812" width="7.453125" style="279" customWidth="1"/>
    <col min="12813" max="13056" width="9" style="279"/>
    <col min="13057" max="13057" width="12.1796875" style="279" customWidth="1"/>
    <col min="13058" max="13058" width="14.453125" style="279" customWidth="1"/>
    <col min="13059" max="13059" width="13.7265625" style="279" customWidth="1"/>
    <col min="13060" max="13060" width="9.1796875" style="279" customWidth="1"/>
    <col min="13061" max="13061" width="16.54296875" style="279" customWidth="1"/>
    <col min="13062" max="13068" width="7.453125" style="279" customWidth="1"/>
    <col min="13069" max="13312" width="9" style="279"/>
    <col min="13313" max="13313" width="12.1796875" style="279" customWidth="1"/>
    <col min="13314" max="13314" width="14.453125" style="279" customWidth="1"/>
    <col min="13315" max="13315" width="13.7265625" style="279" customWidth="1"/>
    <col min="13316" max="13316" width="9.1796875" style="279" customWidth="1"/>
    <col min="13317" max="13317" width="16.54296875" style="279" customWidth="1"/>
    <col min="13318" max="13324" width="7.453125" style="279" customWidth="1"/>
    <col min="13325" max="13568" width="9" style="279"/>
    <col min="13569" max="13569" width="12.1796875" style="279" customWidth="1"/>
    <col min="13570" max="13570" width="14.453125" style="279" customWidth="1"/>
    <col min="13571" max="13571" width="13.7265625" style="279" customWidth="1"/>
    <col min="13572" max="13572" width="9.1796875" style="279" customWidth="1"/>
    <col min="13573" max="13573" width="16.54296875" style="279" customWidth="1"/>
    <col min="13574" max="13580" width="7.453125" style="279" customWidth="1"/>
    <col min="13581" max="13824" width="9" style="279"/>
    <col min="13825" max="13825" width="12.1796875" style="279" customWidth="1"/>
    <col min="13826" max="13826" width="14.453125" style="279" customWidth="1"/>
    <col min="13827" max="13827" width="13.7265625" style="279" customWidth="1"/>
    <col min="13828" max="13828" width="9.1796875" style="279" customWidth="1"/>
    <col min="13829" max="13829" width="16.54296875" style="279" customWidth="1"/>
    <col min="13830" max="13836" width="7.453125" style="279" customWidth="1"/>
    <col min="13837" max="14080" width="9" style="279"/>
    <col min="14081" max="14081" width="12.1796875" style="279" customWidth="1"/>
    <col min="14082" max="14082" width="14.453125" style="279" customWidth="1"/>
    <col min="14083" max="14083" width="13.7265625" style="279" customWidth="1"/>
    <col min="14084" max="14084" width="9.1796875" style="279" customWidth="1"/>
    <col min="14085" max="14085" width="16.54296875" style="279" customWidth="1"/>
    <col min="14086" max="14092" width="7.453125" style="279" customWidth="1"/>
    <col min="14093" max="14336" width="9" style="279"/>
    <col min="14337" max="14337" width="12.1796875" style="279" customWidth="1"/>
    <col min="14338" max="14338" width="14.453125" style="279" customWidth="1"/>
    <col min="14339" max="14339" width="13.7265625" style="279" customWidth="1"/>
    <col min="14340" max="14340" width="9.1796875" style="279" customWidth="1"/>
    <col min="14341" max="14341" width="16.54296875" style="279" customWidth="1"/>
    <col min="14342" max="14348" width="7.453125" style="279" customWidth="1"/>
    <col min="14349" max="14592" width="9" style="279"/>
    <col min="14593" max="14593" width="12.1796875" style="279" customWidth="1"/>
    <col min="14594" max="14594" width="14.453125" style="279" customWidth="1"/>
    <col min="14595" max="14595" width="13.7265625" style="279" customWidth="1"/>
    <col min="14596" max="14596" width="9.1796875" style="279" customWidth="1"/>
    <col min="14597" max="14597" width="16.54296875" style="279" customWidth="1"/>
    <col min="14598" max="14604" width="7.453125" style="279" customWidth="1"/>
    <col min="14605" max="14848" width="9" style="279"/>
    <col min="14849" max="14849" width="12.1796875" style="279" customWidth="1"/>
    <col min="14850" max="14850" width="14.453125" style="279" customWidth="1"/>
    <col min="14851" max="14851" width="13.7265625" style="279" customWidth="1"/>
    <col min="14852" max="14852" width="9.1796875" style="279" customWidth="1"/>
    <col min="14853" max="14853" width="16.54296875" style="279" customWidth="1"/>
    <col min="14854" max="14860" width="7.453125" style="279" customWidth="1"/>
    <col min="14861" max="15104" width="9" style="279"/>
    <col min="15105" max="15105" width="12.1796875" style="279" customWidth="1"/>
    <col min="15106" max="15106" width="14.453125" style="279" customWidth="1"/>
    <col min="15107" max="15107" width="13.7265625" style="279" customWidth="1"/>
    <col min="15108" max="15108" width="9.1796875" style="279" customWidth="1"/>
    <col min="15109" max="15109" width="16.54296875" style="279" customWidth="1"/>
    <col min="15110" max="15116" width="7.453125" style="279" customWidth="1"/>
    <col min="15117" max="15360" width="9" style="279"/>
    <col min="15361" max="15361" width="12.1796875" style="279" customWidth="1"/>
    <col min="15362" max="15362" width="14.453125" style="279" customWidth="1"/>
    <col min="15363" max="15363" width="13.7265625" style="279" customWidth="1"/>
    <col min="15364" max="15364" width="9.1796875" style="279" customWidth="1"/>
    <col min="15365" max="15365" width="16.54296875" style="279" customWidth="1"/>
    <col min="15366" max="15372" width="7.453125" style="279" customWidth="1"/>
    <col min="15373" max="15616" width="9" style="279"/>
    <col min="15617" max="15617" width="12.1796875" style="279" customWidth="1"/>
    <col min="15618" max="15618" width="14.453125" style="279" customWidth="1"/>
    <col min="15619" max="15619" width="13.7265625" style="279" customWidth="1"/>
    <col min="15620" max="15620" width="9.1796875" style="279" customWidth="1"/>
    <col min="15621" max="15621" width="16.54296875" style="279" customWidth="1"/>
    <col min="15622" max="15628" width="7.453125" style="279" customWidth="1"/>
    <col min="15629" max="15872" width="9" style="279"/>
    <col min="15873" max="15873" width="12.1796875" style="279" customWidth="1"/>
    <col min="15874" max="15874" width="14.453125" style="279" customWidth="1"/>
    <col min="15875" max="15875" width="13.7265625" style="279" customWidth="1"/>
    <col min="15876" max="15876" width="9.1796875" style="279" customWidth="1"/>
    <col min="15877" max="15877" width="16.54296875" style="279" customWidth="1"/>
    <col min="15878" max="15884" width="7.453125" style="279" customWidth="1"/>
    <col min="15885" max="16128" width="9" style="279"/>
    <col min="16129" max="16129" width="12.1796875" style="279" customWidth="1"/>
    <col min="16130" max="16130" width="14.453125" style="279" customWidth="1"/>
    <col min="16131" max="16131" width="13.7265625" style="279" customWidth="1"/>
    <col min="16132" max="16132" width="9.1796875" style="279" customWidth="1"/>
    <col min="16133" max="16133" width="16.54296875" style="279" customWidth="1"/>
    <col min="16134" max="16140" width="7.453125" style="279" customWidth="1"/>
    <col min="16141" max="16384" width="9" style="279"/>
  </cols>
  <sheetData>
    <row r="1" spans="1:12" s="278" customFormat="1" ht="13" x14ac:dyDescent="0.35"/>
    <row r="2" spans="1:12" s="22" customFormat="1" ht="13" x14ac:dyDescent="0.35"/>
    <row r="3" spans="1:12" s="278" customFormat="1" ht="13" x14ac:dyDescent="0.35"/>
    <row r="4" spans="1:12" s="278" customFormat="1" ht="13" x14ac:dyDescent="0.35"/>
    <row r="5" spans="1:12" ht="13" x14ac:dyDescent="0.35">
      <c r="A5" s="278" t="s">
        <v>293</v>
      </c>
    </row>
    <row r="6" spans="1:12" s="280" customFormat="1" ht="13" x14ac:dyDescent="0.35">
      <c r="A6" s="15" t="s">
        <v>294</v>
      </c>
      <c r="B6" s="15" t="s">
        <v>295</v>
      </c>
      <c r="C6" s="15" t="s">
        <v>296</v>
      </c>
      <c r="D6" s="15" t="s">
        <v>297</v>
      </c>
      <c r="E6" s="15" t="s">
        <v>298</v>
      </c>
      <c r="F6" s="15" t="s">
        <v>299</v>
      </c>
      <c r="G6" s="15" t="s">
        <v>300</v>
      </c>
      <c r="H6" s="15" t="s">
        <v>301</v>
      </c>
      <c r="I6" s="15" t="s">
        <v>302</v>
      </c>
      <c r="J6" s="15" t="s">
        <v>303</v>
      </c>
      <c r="K6" s="15" t="s">
        <v>304</v>
      </c>
      <c r="L6" s="15" t="s">
        <v>305</v>
      </c>
    </row>
    <row r="7" spans="1:12" x14ac:dyDescent="0.35">
      <c r="A7" s="16" t="s">
        <v>260</v>
      </c>
      <c r="B7" s="19" t="s">
        <v>306</v>
      </c>
      <c r="C7" s="16" t="s">
        <v>307</v>
      </c>
      <c r="D7" s="16" t="s">
        <v>308</v>
      </c>
      <c r="E7" s="16" t="s">
        <v>309</v>
      </c>
      <c r="F7" s="18">
        <v>13267.8</v>
      </c>
      <c r="G7" s="18">
        <v>14684</v>
      </c>
      <c r="H7" s="18">
        <v>16463.599999999999</v>
      </c>
      <c r="I7" s="18">
        <v>17617.2</v>
      </c>
      <c r="J7" s="18">
        <v>20064</v>
      </c>
      <c r="K7" s="18">
        <v>20748.2</v>
      </c>
      <c r="L7" s="18">
        <v>22067.3</v>
      </c>
    </row>
    <row r="9" spans="1:12" ht="13" x14ac:dyDescent="0.35">
      <c r="A9" s="282" t="s">
        <v>310</v>
      </c>
    </row>
    <row r="10" spans="1:12" x14ac:dyDescent="0.35">
      <c r="A10" s="279" t="s">
        <v>311</v>
      </c>
    </row>
    <row r="12" spans="1:12" x14ac:dyDescent="0.35">
      <c r="A12" s="279" t="s">
        <v>312</v>
      </c>
    </row>
    <row r="13" spans="1:12" x14ac:dyDescent="0.35">
      <c r="A13" s="279" t="s">
        <v>313</v>
      </c>
    </row>
    <row r="16" spans="1:12" ht="13" x14ac:dyDescent="0.35">
      <c r="A16" s="278" t="s">
        <v>314</v>
      </c>
    </row>
    <row r="17" spans="1:15" ht="13" x14ac:dyDescent="0.35">
      <c r="A17" s="15" t="s">
        <v>294</v>
      </c>
      <c r="B17" s="15" t="s">
        <v>295</v>
      </c>
      <c r="C17" s="15" t="s">
        <v>315</v>
      </c>
      <c r="D17" s="15" t="s">
        <v>296</v>
      </c>
      <c r="E17" s="15" t="s">
        <v>299</v>
      </c>
      <c r="F17" s="15" t="s">
        <v>300</v>
      </c>
      <c r="G17" s="15" t="s">
        <v>301</v>
      </c>
      <c r="H17" s="15" t="s">
        <v>302</v>
      </c>
      <c r="I17" s="15" t="s">
        <v>303</v>
      </c>
      <c r="J17" s="15" t="s">
        <v>304</v>
      </c>
      <c r="K17" s="15" t="s">
        <v>305</v>
      </c>
    </row>
    <row r="18" spans="1:15" x14ac:dyDescent="0.35">
      <c r="A18" s="16" t="s">
        <v>260</v>
      </c>
      <c r="B18" s="19" t="s">
        <v>306</v>
      </c>
      <c r="C18" s="16" t="s">
        <v>316</v>
      </c>
      <c r="D18" s="16" t="s">
        <v>307</v>
      </c>
      <c r="E18" s="18">
        <v>16.5</v>
      </c>
      <c r="F18" s="18">
        <v>16.7</v>
      </c>
      <c r="G18" s="18">
        <v>16.600000000000001</v>
      </c>
      <c r="H18" s="18">
        <v>16.7</v>
      </c>
      <c r="I18" s="18">
        <v>16.2</v>
      </c>
      <c r="J18" s="18">
        <v>15.9</v>
      </c>
      <c r="K18" s="18">
        <v>15.6</v>
      </c>
      <c r="M18" s="279">
        <f>K18/E18-1</f>
        <v>-5.4545454545454564E-2</v>
      </c>
      <c r="N18" s="279">
        <f>AVERAGE(M18:M24)</f>
        <v>-0.14352896928562789</v>
      </c>
    </row>
    <row r="19" spans="1:15" x14ac:dyDescent="0.35">
      <c r="A19" s="16" t="s">
        <v>260</v>
      </c>
      <c r="B19" s="19" t="s">
        <v>306</v>
      </c>
      <c r="C19" s="16" t="s">
        <v>317</v>
      </c>
      <c r="D19" s="16" t="s">
        <v>307</v>
      </c>
      <c r="E19" s="18">
        <v>11.8</v>
      </c>
      <c r="F19" s="18">
        <v>11.5</v>
      </c>
      <c r="G19" s="18">
        <v>11.3</v>
      </c>
      <c r="H19" s="18">
        <v>11.2</v>
      </c>
      <c r="I19" s="18">
        <v>11.3</v>
      </c>
      <c r="J19" s="18">
        <v>11.5</v>
      </c>
      <c r="K19" s="18">
        <v>11.7</v>
      </c>
      <c r="M19" s="279">
        <f t="shared" ref="M19:M24" si="0">K19/E19-1</f>
        <v>-8.4745762711865291E-3</v>
      </c>
    </row>
    <row r="20" spans="1:15" x14ac:dyDescent="0.35">
      <c r="A20" s="16" t="s">
        <v>260</v>
      </c>
      <c r="B20" s="19" t="s">
        <v>306</v>
      </c>
      <c r="C20" s="16" t="s">
        <v>318</v>
      </c>
      <c r="D20" s="16" t="s">
        <v>307</v>
      </c>
      <c r="E20" s="18">
        <v>11.1</v>
      </c>
      <c r="F20" s="18">
        <v>11</v>
      </c>
      <c r="G20" s="18">
        <v>10.1</v>
      </c>
      <c r="H20" s="18">
        <v>9.6999999999999993</v>
      </c>
      <c r="I20" s="18">
        <v>9.6999999999999993</v>
      </c>
      <c r="J20" s="18">
        <v>9.6999999999999993</v>
      </c>
      <c r="K20" s="18">
        <v>9.6</v>
      </c>
      <c r="M20" s="279">
        <f t="shared" si="0"/>
        <v>-0.13513513513513509</v>
      </c>
    </row>
    <row r="21" spans="1:15" x14ac:dyDescent="0.35">
      <c r="A21" s="16" t="s">
        <v>260</v>
      </c>
      <c r="B21" s="19" t="s">
        <v>306</v>
      </c>
      <c r="C21" s="16" t="s">
        <v>319</v>
      </c>
      <c r="D21" s="16" t="s">
        <v>307</v>
      </c>
      <c r="E21" s="18">
        <v>6.4</v>
      </c>
      <c r="F21" s="18">
        <v>6.6</v>
      </c>
      <c r="G21" s="18">
        <v>6.7</v>
      </c>
      <c r="H21" s="18">
        <v>6.6</v>
      </c>
      <c r="I21" s="18">
        <v>6.1</v>
      </c>
      <c r="J21" s="18">
        <v>6.1</v>
      </c>
      <c r="K21" s="18">
        <v>6</v>
      </c>
      <c r="M21" s="279">
        <f t="shared" si="0"/>
        <v>-6.25E-2</v>
      </c>
    </row>
    <row r="22" spans="1:15" x14ac:dyDescent="0.35">
      <c r="A22" s="16" t="s">
        <v>260</v>
      </c>
      <c r="B22" s="19" t="s">
        <v>306</v>
      </c>
      <c r="C22" s="16" t="s">
        <v>320</v>
      </c>
      <c r="D22" s="16" t="s">
        <v>307</v>
      </c>
      <c r="E22" s="18">
        <v>1.6</v>
      </c>
      <c r="F22" s="18">
        <v>1.7</v>
      </c>
      <c r="G22" s="18">
        <v>1.6</v>
      </c>
      <c r="H22" s="18">
        <v>1.6</v>
      </c>
      <c r="I22" s="18">
        <v>1.6</v>
      </c>
      <c r="J22" s="18">
        <v>1.5</v>
      </c>
      <c r="K22" s="18">
        <v>1.4</v>
      </c>
      <c r="M22" s="279">
        <f t="shared" si="0"/>
        <v>-0.12500000000000011</v>
      </c>
    </row>
    <row r="23" spans="1:15" x14ac:dyDescent="0.35">
      <c r="A23" s="16" t="s">
        <v>260</v>
      </c>
      <c r="B23" s="19" t="s">
        <v>306</v>
      </c>
      <c r="C23" s="16" t="s">
        <v>321</v>
      </c>
      <c r="D23" s="16" t="s">
        <v>307</v>
      </c>
      <c r="E23" s="18">
        <v>0.7</v>
      </c>
      <c r="F23" s="18">
        <v>0.7</v>
      </c>
      <c r="G23" s="18">
        <v>0.7</v>
      </c>
      <c r="H23" s="18">
        <v>0.7</v>
      </c>
      <c r="I23" s="18">
        <v>0.7</v>
      </c>
      <c r="J23" s="18">
        <v>0.6</v>
      </c>
      <c r="K23" s="18">
        <v>0.5</v>
      </c>
      <c r="M23" s="279">
        <f t="shared" si="0"/>
        <v>-0.2857142857142857</v>
      </c>
    </row>
    <row r="24" spans="1:15" x14ac:dyDescent="0.35">
      <c r="A24" s="16" t="s">
        <v>260</v>
      </c>
      <c r="B24" s="19" t="s">
        <v>306</v>
      </c>
      <c r="C24" s="16" t="s">
        <v>322</v>
      </c>
      <c r="D24" s="16" t="s">
        <v>307</v>
      </c>
      <c r="E24" s="18">
        <v>0.3</v>
      </c>
      <c r="F24" s="18">
        <v>0.3</v>
      </c>
      <c r="G24" s="18">
        <v>0.2</v>
      </c>
      <c r="H24" s="18">
        <v>0.2</v>
      </c>
      <c r="I24" s="18">
        <v>0.2</v>
      </c>
      <c r="J24" s="18">
        <v>0.2</v>
      </c>
      <c r="K24" s="18">
        <v>0.2</v>
      </c>
      <c r="M24" s="279">
        <f t="shared" si="0"/>
        <v>-0.33333333333333326</v>
      </c>
    </row>
    <row r="25" spans="1:15" x14ac:dyDescent="0.35">
      <c r="F25" s="279">
        <f t="shared" ref="F25:K25" si="1">F18/E18-1</f>
        <v>1.2121212121211977E-2</v>
      </c>
      <c r="G25" s="279">
        <f t="shared" si="1"/>
        <v>-5.9880239520956335E-3</v>
      </c>
      <c r="H25" s="279">
        <f t="shared" si="1"/>
        <v>6.0240963855420215E-3</v>
      </c>
      <c r="I25" s="279">
        <f t="shared" si="1"/>
        <v>-2.9940119760479056E-2</v>
      </c>
      <c r="J25" s="279">
        <f t="shared" si="1"/>
        <v>-1.851851851851849E-2</v>
      </c>
      <c r="K25" s="279">
        <f t="shared" si="1"/>
        <v>-1.8867924528301883E-2</v>
      </c>
    </row>
    <row r="26" spans="1:15" x14ac:dyDescent="0.35">
      <c r="F26" s="279">
        <f t="shared" ref="F26:F31" si="2">F19/E19-1</f>
        <v>-2.5423728813559365E-2</v>
      </c>
      <c r="G26" s="279">
        <f t="shared" ref="G26:K26" si="3">G19/F19-1</f>
        <v>-1.7391304347825987E-2</v>
      </c>
      <c r="H26" s="279">
        <f t="shared" si="3"/>
        <v>-8.8495575221240186E-3</v>
      </c>
      <c r="I26" s="279">
        <f t="shared" si="3"/>
        <v>8.9285714285716189E-3</v>
      </c>
      <c r="J26" s="279">
        <f t="shared" si="3"/>
        <v>1.7699115044247815E-2</v>
      </c>
      <c r="K26" s="279">
        <f t="shared" si="3"/>
        <v>1.7391304347825987E-2</v>
      </c>
    </row>
    <row r="27" spans="1:15" x14ac:dyDescent="0.35">
      <c r="F27" s="279">
        <f t="shared" si="2"/>
        <v>-9.009009009009028E-3</v>
      </c>
      <c r="G27" s="279">
        <f t="shared" ref="G27:K31" si="4">G20/F20-1</f>
        <v>-8.1818181818181901E-2</v>
      </c>
      <c r="H27" s="279">
        <f t="shared" si="4"/>
        <v>-3.9603960396039639E-2</v>
      </c>
      <c r="I27" s="279">
        <f t="shared" si="4"/>
        <v>0</v>
      </c>
      <c r="J27" s="279">
        <f t="shared" si="4"/>
        <v>0</v>
      </c>
      <c r="K27" s="279">
        <f t="shared" si="4"/>
        <v>-1.0309278350515427E-2</v>
      </c>
      <c r="M27" s="279">
        <f>AVERAGE(F25:K25)</f>
        <v>-9.1948797087735099E-3</v>
      </c>
    </row>
    <row r="28" spans="1:15" x14ac:dyDescent="0.35">
      <c r="F28" s="279">
        <f t="shared" si="2"/>
        <v>3.1249999999999778E-2</v>
      </c>
      <c r="G28" s="279">
        <f t="shared" si="4"/>
        <v>1.5151515151515138E-2</v>
      </c>
      <c r="H28" s="279">
        <f t="shared" si="4"/>
        <v>-1.4925373134328401E-2</v>
      </c>
      <c r="I28" s="279">
        <f t="shared" si="4"/>
        <v>-7.5757575757575801E-2</v>
      </c>
      <c r="J28" s="279">
        <f t="shared" si="4"/>
        <v>0</v>
      </c>
      <c r="K28" s="279">
        <f t="shared" si="4"/>
        <v>-1.6393442622950727E-2</v>
      </c>
      <c r="M28" s="279">
        <f t="shared" ref="M28:M33" si="5">AVERAGE(F26:K26)</f>
        <v>-1.2742666438106582E-3</v>
      </c>
      <c r="N28" s="285">
        <f>AVERAGE(M27:M33)</f>
        <v>-2.4585179118765836E-2</v>
      </c>
      <c r="O28" s="286">
        <f>-N18/2</f>
        <v>7.1764484642813944E-2</v>
      </c>
    </row>
    <row r="29" spans="1:15" x14ac:dyDescent="0.35">
      <c r="F29" s="279">
        <f t="shared" si="2"/>
        <v>6.25E-2</v>
      </c>
      <c r="G29" s="279">
        <f t="shared" si="4"/>
        <v>-5.8823529411764608E-2</v>
      </c>
      <c r="H29" s="279">
        <f t="shared" si="4"/>
        <v>0</v>
      </c>
      <c r="I29" s="279">
        <f t="shared" si="4"/>
        <v>0</v>
      </c>
      <c r="J29" s="279">
        <f t="shared" si="4"/>
        <v>-6.25E-2</v>
      </c>
      <c r="K29" s="279">
        <f t="shared" si="4"/>
        <v>-6.6666666666666763E-2</v>
      </c>
      <c r="M29" s="279">
        <f t="shared" si="5"/>
        <v>-2.3456738262290999E-2</v>
      </c>
    </row>
    <row r="30" spans="1:15" x14ac:dyDescent="0.35">
      <c r="F30" s="279">
        <f t="shared" si="2"/>
        <v>0</v>
      </c>
      <c r="G30" s="279">
        <f t="shared" si="4"/>
        <v>0</v>
      </c>
      <c r="H30" s="279">
        <f t="shared" si="4"/>
        <v>0</v>
      </c>
      <c r="I30" s="279">
        <f t="shared" si="4"/>
        <v>0</v>
      </c>
      <c r="J30" s="279">
        <f t="shared" si="4"/>
        <v>-0.14285714285714279</v>
      </c>
      <c r="K30" s="279">
        <f t="shared" si="4"/>
        <v>-0.16666666666666663</v>
      </c>
      <c r="M30" s="279">
        <f t="shared" si="5"/>
        <v>-1.0112479393890003E-2</v>
      </c>
    </row>
    <row r="31" spans="1:15" x14ac:dyDescent="0.35">
      <c r="F31" s="279">
        <f t="shared" si="2"/>
        <v>0</v>
      </c>
      <c r="G31" s="279">
        <f t="shared" si="4"/>
        <v>-0.33333333333333326</v>
      </c>
      <c r="H31" s="279">
        <f t="shared" si="4"/>
        <v>0</v>
      </c>
      <c r="I31" s="279">
        <f t="shared" si="4"/>
        <v>0</v>
      </c>
      <c r="J31" s="279">
        <f t="shared" si="4"/>
        <v>0</v>
      </c>
      <c r="K31" s="279">
        <f t="shared" si="4"/>
        <v>0</v>
      </c>
      <c r="M31" s="279">
        <f t="shared" si="5"/>
        <v>-2.0915032679738561E-2</v>
      </c>
    </row>
    <row r="32" spans="1:15" x14ac:dyDescent="0.35">
      <c r="M32" s="279">
        <f t="shared" si="5"/>
        <v>-5.1587301587301571E-2</v>
      </c>
    </row>
    <row r="33" spans="1:13" ht="13" x14ac:dyDescent="0.35">
      <c r="A33" s="278"/>
      <c r="M33" s="279">
        <f t="shared" si="5"/>
        <v>-5.5555555555555546E-2</v>
      </c>
    </row>
    <row r="34" spans="1:13" ht="13" x14ac:dyDescent="0.35">
      <c r="A34" s="15"/>
      <c r="B34" s="15"/>
      <c r="C34" s="15"/>
      <c r="D34" s="15"/>
      <c r="E34" s="15"/>
      <c r="F34" s="15"/>
      <c r="G34" s="15"/>
      <c r="H34" s="15"/>
      <c r="I34" s="15"/>
      <c r="J34" s="15"/>
      <c r="K34" s="15"/>
    </row>
    <row r="35" spans="1:13" x14ac:dyDescent="0.35">
      <c r="A35" s="16"/>
      <c r="B35" s="19"/>
      <c r="C35" s="16"/>
      <c r="D35" s="16"/>
      <c r="E35" s="18"/>
      <c r="F35" s="18"/>
      <c r="G35" s="18"/>
      <c r="H35" s="18"/>
      <c r="I35" s="18"/>
      <c r="J35" s="18"/>
      <c r="K35" s="18"/>
    </row>
    <row r="36" spans="1:13" x14ac:dyDescent="0.35">
      <c r="A36" s="16"/>
      <c r="B36" s="19"/>
      <c r="C36" s="16"/>
      <c r="D36" s="16"/>
      <c r="E36" s="18"/>
      <c r="F36" s="18"/>
      <c r="G36" s="18"/>
      <c r="H36" s="18"/>
      <c r="I36" s="18"/>
      <c r="J36" s="18"/>
      <c r="K36" s="18"/>
    </row>
    <row r="37" spans="1:13" x14ac:dyDescent="0.35">
      <c r="A37" s="16"/>
      <c r="B37" s="19"/>
      <c r="C37" s="16"/>
      <c r="D37" s="16"/>
      <c r="E37" s="18"/>
      <c r="F37" s="18"/>
      <c r="G37" s="18"/>
      <c r="H37" s="18"/>
      <c r="I37" s="18"/>
      <c r="J37" s="18"/>
      <c r="K37" s="18"/>
    </row>
    <row r="38" spans="1:13" x14ac:dyDescent="0.35">
      <c r="A38" s="16"/>
      <c r="B38" s="19"/>
      <c r="C38" s="16"/>
      <c r="D38" s="16"/>
      <c r="E38" s="18"/>
      <c r="F38" s="18"/>
      <c r="G38" s="18"/>
      <c r="H38" s="18"/>
      <c r="I38" s="18"/>
      <c r="J38" s="18"/>
      <c r="K38" s="18"/>
    </row>
    <row r="39" spans="1:13" x14ac:dyDescent="0.35">
      <c r="A39" s="16"/>
      <c r="B39" s="19"/>
      <c r="C39" s="16"/>
      <c r="D39" s="16"/>
      <c r="E39" s="18"/>
      <c r="F39" s="18"/>
      <c r="G39" s="18"/>
      <c r="H39" s="18"/>
      <c r="I39" s="18"/>
      <c r="J39" s="18"/>
      <c r="K39" s="18"/>
    </row>
    <row r="40" spans="1:13" x14ac:dyDescent="0.35">
      <c r="A40" s="16"/>
      <c r="B40" s="19"/>
      <c r="C40" s="16"/>
      <c r="D40" s="16"/>
      <c r="E40" s="18"/>
      <c r="F40" s="18"/>
      <c r="G40" s="18"/>
      <c r="H40" s="18"/>
      <c r="I40" s="18"/>
      <c r="J40" s="18"/>
      <c r="K40" s="18"/>
    </row>
    <row r="41" spans="1:13" ht="13" x14ac:dyDescent="0.35">
      <c r="A41" s="278"/>
    </row>
    <row r="42" spans="1:13" ht="13" x14ac:dyDescent="0.35">
      <c r="A42" s="15"/>
      <c r="B42" s="15"/>
      <c r="C42" s="15"/>
      <c r="D42" s="15"/>
      <c r="E42" s="15"/>
      <c r="F42" s="15"/>
      <c r="G42" s="15"/>
      <c r="H42" s="15"/>
      <c r="I42" s="15"/>
      <c r="J42" s="15"/>
      <c r="K42" s="15"/>
    </row>
    <row r="43" spans="1:13" x14ac:dyDescent="0.35">
      <c r="A43" s="16"/>
      <c r="B43" s="19"/>
      <c r="C43" s="16"/>
      <c r="D43" s="16"/>
      <c r="E43" s="18"/>
      <c r="F43" s="18"/>
      <c r="G43" s="18"/>
      <c r="H43" s="18"/>
      <c r="I43" s="18"/>
      <c r="J43" s="18"/>
      <c r="K43" s="18"/>
    </row>
    <row r="44" spans="1:13" x14ac:dyDescent="0.35">
      <c r="A44" s="16"/>
      <c r="B44" s="19"/>
      <c r="C44" s="16"/>
      <c r="D44" s="16"/>
      <c r="E44" s="18"/>
      <c r="F44" s="18"/>
      <c r="G44" s="18"/>
      <c r="H44" s="18"/>
      <c r="I44" s="18"/>
      <c r="J44" s="18"/>
      <c r="K44" s="18"/>
    </row>
    <row r="45" spans="1:13" x14ac:dyDescent="0.35">
      <c r="A45" s="16"/>
      <c r="B45" s="19"/>
      <c r="C45" s="16"/>
      <c r="D45" s="16"/>
      <c r="E45" s="18"/>
      <c r="F45" s="18"/>
      <c r="G45" s="18"/>
      <c r="H45" s="18"/>
      <c r="I45" s="18"/>
      <c r="J45" s="18"/>
      <c r="K45" s="18"/>
    </row>
    <row r="46" spans="1:13" x14ac:dyDescent="0.35">
      <c r="A46" s="16"/>
      <c r="B46" s="19"/>
      <c r="C46" s="16"/>
      <c r="D46" s="16"/>
      <c r="E46" s="18"/>
      <c r="F46" s="18"/>
      <c r="G46" s="18"/>
      <c r="H46" s="18"/>
      <c r="I46" s="18"/>
      <c r="J46" s="18"/>
      <c r="K46" s="18"/>
    </row>
    <row r="47" spans="1:13" x14ac:dyDescent="0.35">
      <c r="A47" s="16"/>
      <c r="B47" s="19"/>
      <c r="C47" s="16"/>
      <c r="D47" s="16"/>
      <c r="E47" s="18"/>
      <c r="F47" s="18"/>
      <c r="G47" s="18"/>
      <c r="H47" s="18"/>
      <c r="I47" s="18"/>
      <c r="J47" s="18"/>
      <c r="K47" s="18"/>
    </row>
    <row r="48" spans="1:13" x14ac:dyDescent="0.35">
      <c r="A48" s="16"/>
      <c r="B48" s="19"/>
      <c r="C48" s="16"/>
      <c r="D48" s="16"/>
      <c r="E48" s="18"/>
      <c r="F48" s="18"/>
      <c r="G48" s="18"/>
      <c r="H48" s="18"/>
      <c r="I48" s="18"/>
      <c r="J48" s="18"/>
      <c r="K48" s="18"/>
    </row>
    <row r="49" spans="1:11" x14ac:dyDescent="0.35">
      <c r="A49" s="16"/>
      <c r="B49" s="19"/>
      <c r="C49" s="16"/>
      <c r="D49" s="16"/>
      <c r="E49" s="18"/>
      <c r="F49" s="18"/>
      <c r="G49" s="18"/>
      <c r="H49" s="18"/>
      <c r="I49" s="18"/>
      <c r="J49" s="18"/>
      <c r="K49" s="18"/>
    </row>
    <row r="50" spans="1:11" x14ac:dyDescent="0.35">
      <c r="A50" s="16"/>
      <c r="B50" s="19"/>
      <c r="C50" s="16"/>
      <c r="D50" s="16"/>
      <c r="E50" s="18"/>
      <c r="F50" s="18"/>
      <c r="G50" s="18"/>
      <c r="H50" s="18"/>
      <c r="I50" s="18"/>
      <c r="J50" s="18"/>
      <c r="K50" s="18"/>
    </row>
    <row r="51" spans="1:11" x14ac:dyDescent="0.35">
      <c r="A51" s="16"/>
      <c r="B51" s="19"/>
      <c r="C51" s="16"/>
      <c r="D51" s="16"/>
      <c r="E51" s="18"/>
      <c r="F51" s="18"/>
      <c r="G51" s="18"/>
      <c r="H51" s="18"/>
      <c r="I51" s="18"/>
      <c r="J51" s="18"/>
      <c r="K51" s="18"/>
    </row>
    <row r="52" spans="1:11" x14ac:dyDescent="0.35">
      <c r="A52" s="16"/>
      <c r="B52" s="19"/>
      <c r="C52" s="16"/>
      <c r="D52" s="16"/>
      <c r="E52" s="18"/>
      <c r="F52" s="18"/>
      <c r="G52" s="18"/>
      <c r="H52" s="18"/>
      <c r="I52" s="18"/>
      <c r="J52" s="18"/>
      <c r="K52" s="18"/>
    </row>
    <row r="53" spans="1:11" x14ac:dyDescent="0.35">
      <c r="A53" s="16"/>
      <c r="B53" s="19"/>
      <c r="C53" s="16"/>
      <c r="D53" s="16"/>
      <c r="E53" s="18"/>
      <c r="F53" s="18"/>
      <c r="G53" s="18"/>
      <c r="H53" s="18"/>
      <c r="I53" s="18"/>
      <c r="J53" s="18"/>
      <c r="K53" s="18"/>
    </row>
    <row r="54" spans="1:11" x14ac:dyDescent="0.35">
      <c r="A54" s="16"/>
      <c r="B54" s="19"/>
      <c r="C54" s="16"/>
      <c r="D54" s="16"/>
      <c r="E54" s="18"/>
      <c r="F54" s="18"/>
      <c r="G54" s="18"/>
      <c r="H54" s="18"/>
      <c r="I54" s="18"/>
      <c r="J54" s="18"/>
      <c r="K54" s="18"/>
    </row>
    <row r="55" spans="1:11" x14ac:dyDescent="0.35">
      <c r="A55" s="16"/>
      <c r="B55" s="19"/>
      <c r="C55" s="16"/>
      <c r="D55" s="16"/>
      <c r="E55" s="18"/>
      <c r="F55" s="18"/>
      <c r="G55" s="18"/>
      <c r="H55" s="18"/>
      <c r="I55" s="18"/>
      <c r="J55" s="18"/>
      <c r="K55" s="18"/>
    </row>
    <row r="56" spans="1:11" x14ac:dyDescent="0.35">
      <c r="A56" s="16"/>
      <c r="B56" s="19"/>
      <c r="C56" s="16"/>
      <c r="D56" s="16"/>
      <c r="E56" s="18"/>
      <c r="F56" s="18"/>
      <c r="G56" s="18"/>
      <c r="H56" s="18"/>
      <c r="I56" s="18"/>
      <c r="J56" s="18"/>
      <c r="K56" s="18"/>
    </row>
    <row r="57" spans="1:11" x14ac:dyDescent="0.35">
      <c r="A57" s="16"/>
      <c r="B57" s="19"/>
      <c r="C57" s="16"/>
      <c r="D57" s="16"/>
      <c r="E57" s="18"/>
      <c r="F57" s="18"/>
      <c r="G57" s="18"/>
      <c r="H57" s="18"/>
      <c r="I57" s="18"/>
      <c r="J57" s="18"/>
      <c r="K57" s="18"/>
    </row>
    <row r="58" spans="1:11" x14ac:dyDescent="0.35">
      <c r="A58" s="16"/>
      <c r="B58" s="19"/>
      <c r="C58" s="16"/>
      <c r="D58" s="16"/>
      <c r="E58" s="18"/>
      <c r="F58" s="18"/>
      <c r="G58" s="18"/>
      <c r="H58" s="18"/>
      <c r="I58" s="18"/>
      <c r="J58" s="18"/>
      <c r="K58" s="18"/>
    </row>
    <row r="59" spans="1:11" x14ac:dyDescent="0.35">
      <c r="A59" s="16"/>
      <c r="B59" s="19"/>
      <c r="C59" s="16"/>
      <c r="D59" s="16"/>
      <c r="E59" s="18"/>
      <c r="F59" s="18"/>
      <c r="G59" s="18"/>
      <c r="H59" s="18"/>
      <c r="I59" s="18"/>
      <c r="J59" s="18"/>
      <c r="K59" s="18"/>
    </row>
    <row r="60" spans="1:11" x14ac:dyDescent="0.35">
      <c r="A60" s="16"/>
      <c r="B60" s="19"/>
      <c r="C60" s="16"/>
      <c r="D60" s="16"/>
      <c r="E60" s="18"/>
      <c r="F60" s="18"/>
      <c r="G60" s="18"/>
      <c r="H60" s="18"/>
      <c r="I60" s="18"/>
      <c r="J60" s="18"/>
      <c r="K60" s="18"/>
    </row>
    <row r="61" spans="1:11" x14ac:dyDescent="0.35">
      <c r="A61" s="16"/>
      <c r="B61" s="19"/>
      <c r="C61" s="16"/>
      <c r="D61" s="16"/>
      <c r="E61" s="281"/>
      <c r="F61" s="281"/>
      <c r="G61" s="281"/>
      <c r="H61" s="281"/>
      <c r="I61" s="281"/>
      <c r="J61" s="281"/>
      <c r="K61" s="281"/>
    </row>
    <row r="62" spans="1:11" x14ac:dyDescent="0.35">
      <c r="A62" s="16"/>
      <c r="B62" s="19"/>
      <c r="C62" s="16"/>
      <c r="D62" s="16"/>
      <c r="E62" s="18"/>
      <c r="F62" s="18"/>
      <c r="G62" s="18"/>
      <c r="H62" s="18"/>
      <c r="I62" s="18"/>
      <c r="J62" s="18"/>
      <c r="K62" s="18"/>
    </row>
    <row r="63" spans="1:11" x14ac:dyDescent="0.35">
      <c r="A63" s="16"/>
      <c r="B63" s="19"/>
      <c r="C63" s="16"/>
      <c r="D63" s="16"/>
      <c r="E63" s="18"/>
      <c r="F63" s="18"/>
      <c r="G63" s="18"/>
      <c r="H63" s="18"/>
      <c r="I63" s="18"/>
      <c r="J63" s="18"/>
      <c r="K63" s="1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9A068EF7E65A4588C3653A75AA55DB" ma:contentTypeVersion="16" ma:contentTypeDescription="Create a new document." ma:contentTypeScope="" ma:versionID="48f93e899155136cf10eb1bf76e7dcb1">
  <xsd:schema xmlns:xsd="http://www.w3.org/2001/XMLSchema" xmlns:xs="http://www.w3.org/2001/XMLSchema" xmlns:p="http://schemas.microsoft.com/office/2006/metadata/properties" xmlns:ns3="f594e9e5-c8d5-459e-8066-38ff98071e82" xmlns:ns4="5b6d69a5-d3e4-4b0d-bc4e-67b67246598f" targetNamespace="http://schemas.microsoft.com/office/2006/metadata/properties" ma:root="true" ma:fieldsID="eddd7406ce21d3160290856ebb4fa5a6" ns3:_="" ns4:_="">
    <xsd:import namespace="f594e9e5-c8d5-459e-8066-38ff98071e82"/>
    <xsd:import namespace="5b6d69a5-d3e4-4b0d-bc4e-67b67246598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LengthInSeconds" minOccurs="0"/>
                <xsd:element ref="ns4:MediaServiceObjectDetectorVersions" minOccurs="0"/>
                <xsd:element ref="ns4:MediaServiceGenerationTime" minOccurs="0"/>
                <xsd:element ref="ns4:MediaServiceEventHashCode" minOccurs="0"/>
                <xsd:element ref="ns4:_activity" minOccurs="0"/>
                <xsd:element ref="ns4:MediaServiceSystemTags" minOccurs="0"/>
                <xsd:element ref="ns4:MediaServiceLocation"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4e9e5-c8d5-459e-8066-38ff98071e8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6d69a5-d3e4-4b0d-bc4e-67b67246598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b6d69a5-d3e4-4b0d-bc4e-67b67246598f" xsi:nil="true"/>
  </documentManagement>
</p:properties>
</file>

<file path=customXml/itemProps1.xml><?xml version="1.0" encoding="utf-8"?>
<ds:datastoreItem xmlns:ds="http://schemas.openxmlformats.org/officeDocument/2006/customXml" ds:itemID="{88E4052A-DF20-4BEE-A49F-B7DD35F1EEE6}">
  <ds:schemaRefs>
    <ds:schemaRef ds:uri="http://schemas.microsoft.com/sharepoint/v3/contenttype/forms"/>
  </ds:schemaRefs>
</ds:datastoreItem>
</file>

<file path=customXml/itemProps2.xml><?xml version="1.0" encoding="utf-8"?>
<ds:datastoreItem xmlns:ds="http://schemas.openxmlformats.org/officeDocument/2006/customXml" ds:itemID="{427D598C-876D-4E12-A341-D2B9C2CCAB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4e9e5-c8d5-459e-8066-38ff98071e82"/>
    <ds:schemaRef ds:uri="5b6d69a5-d3e4-4b0d-bc4e-67b6724659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EE2EF3-1617-41AF-89D9-952F93378067}">
  <ds:schemaRefs>
    <ds:schemaRef ds:uri="5b6d69a5-d3e4-4b0d-bc4e-67b67246598f"/>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594e9e5-c8d5-459e-8066-38ff98071e8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Requirement</vt:lpstr>
      <vt:lpstr>PHP Requirement</vt:lpstr>
      <vt:lpstr>NPV Modelling</vt:lpstr>
      <vt:lpstr>FINAL NPV, IRR, Payback</vt:lpstr>
      <vt:lpstr>USDPHP Forecasting</vt:lpstr>
      <vt:lpstr>Financing</vt:lpstr>
      <vt:lpstr>RISK</vt:lpstr>
      <vt:lpstr>Snack vs Baked Goods industry</vt:lpstr>
      <vt:lpstr>Savoury snacks</vt:lpstr>
      <vt:lpstr>Sweet biscuit</vt:lpstr>
      <vt:lpstr>Biscuit share</vt:lpstr>
      <vt:lpstr>Mooncake</vt:lpstr>
      <vt:lpstr>Milk price</vt:lpstr>
      <vt:lpstr>Sugar price</vt:lpstr>
      <vt:lpstr>Wheat price</vt:lpstr>
      <vt:lpstr>Country risk</vt:lpstr>
      <vt:lpstr>Graph</vt:lpstr>
      <vt:lpstr>Raw</vt:lpstr>
      <vt:lpstr>NPV analysis</vt:lpstr>
      <vt:lpstr>IFE raw</vt:lpstr>
      <vt:lpstr>Sheet2</vt:lpstr>
      <vt:lpstr>IFE forecasting</vt:lpstr>
      <vt:lpstr>Sheet1</vt:lpstr>
      <vt:lpstr>raw forecast</vt:lpstr>
      <vt:lpstr>IFE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Cao Minh Nguyen</dc:creator>
  <cp:keywords/>
  <dc:description/>
  <cp:lastModifiedBy>Minh Nguyen Cao</cp:lastModifiedBy>
  <cp:revision/>
  <dcterms:created xsi:type="dcterms:W3CDTF">2024-09-06T08:13:10Z</dcterms:created>
  <dcterms:modified xsi:type="dcterms:W3CDTF">2024-09-20T07:51:20Z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0x010100619A068EF7E65A4588C3653A75AA55DB</vt:lpwstr>
  </property>
</Properties>
</file>