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filterPrivacy="1"/>
  <xr:revisionPtr revIDLastSave="0" documentId="13_ncr:1_{687851E6-B2CF-4C5A-98C9-F021293D1017}" xr6:coauthVersionLast="47" xr6:coauthVersionMax="47" xr10:uidLastSave="{00000000-0000-0000-0000-000000000000}"/>
  <bookViews>
    <workbookView xWindow="-110" yWindow="-110" windowWidth="38620" windowHeight="21820" activeTab="1" xr2:uid="{F382B698-FBCF-4F5D-9649-5735A6780E98}"/>
  </bookViews>
  <sheets>
    <sheet name="Capital Budgeting &gt; &gt;" sheetId="4" r:id="rId1"/>
    <sheet name="Assumptions &amp; Inputs" sheetId="19" r:id="rId2"/>
    <sheet name="DCF Model" sheetId="2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6" i="23" l="1"/>
  <c r="G36" i="23"/>
  <c r="H36" i="23"/>
  <c r="I36" i="23"/>
  <c r="J36" i="23"/>
  <c r="K36" i="23"/>
  <c r="L36" i="23"/>
  <c r="M36" i="23"/>
  <c r="N36" i="23"/>
  <c r="O36" i="23"/>
  <c r="P36" i="23"/>
  <c r="Q36" i="23"/>
  <c r="R36" i="23"/>
  <c r="S36" i="23"/>
  <c r="E36" i="23"/>
  <c r="D36" i="23"/>
  <c r="E10" i="23"/>
  <c r="F10" i="23" s="1"/>
  <c r="G10" i="23" s="1"/>
  <c r="H10" i="23" s="1"/>
  <c r="I10" i="23" s="1"/>
  <c r="J10" i="23" s="1"/>
  <c r="K10" i="23" s="1"/>
  <c r="L10" i="23" s="1"/>
  <c r="M10" i="23" s="1"/>
  <c r="N10" i="23" s="1"/>
  <c r="O10" i="23" s="1"/>
  <c r="P10" i="23" s="1"/>
  <c r="Q10" i="23" s="1"/>
  <c r="R10" i="23" s="1"/>
  <c r="S10" i="23" s="1"/>
  <c r="S11" i="23" s="1"/>
  <c r="D31" i="23"/>
  <c r="D33" i="23" s="1"/>
  <c r="D42" i="23" s="1"/>
  <c r="F21" i="23"/>
  <c r="G21" i="23"/>
  <c r="H21" i="23"/>
  <c r="I21" i="23"/>
  <c r="J21" i="23"/>
  <c r="K21" i="23"/>
  <c r="L21" i="23"/>
  <c r="M21" i="23"/>
  <c r="N21" i="23"/>
  <c r="O21" i="23"/>
  <c r="P21" i="23"/>
  <c r="Q21" i="23"/>
  <c r="R21" i="23"/>
  <c r="S21" i="23"/>
  <c r="E21" i="23"/>
  <c r="F15" i="23"/>
  <c r="G15" i="23"/>
  <c r="H15" i="23"/>
  <c r="I15" i="23"/>
  <c r="J15" i="23"/>
  <c r="K15" i="23"/>
  <c r="L15" i="23"/>
  <c r="M15" i="23"/>
  <c r="N15" i="23"/>
  <c r="O15" i="23"/>
  <c r="P15" i="23"/>
  <c r="Q15" i="23"/>
  <c r="R15" i="23"/>
  <c r="S15" i="23"/>
  <c r="E15" i="23"/>
  <c r="E48" i="19"/>
  <c r="E10" i="19" s="1"/>
  <c r="F14" i="23" l="1"/>
  <c r="F16" i="23" s="1"/>
  <c r="P14" i="23"/>
  <c r="P16" i="23" s="1"/>
  <c r="G14" i="23"/>
  <c r="G16" i="23" s="1"/>
  <c r="E14" i="23"/>
  <c r="E16" i="23" s="1"/>
  <c r="M14" i="23"/>
  <c r="M16" i="23" s="1"/>
  <c r="S14" i="23"/>
  <c r="S16" i="23" s="1"/>
  <c r="S18" i="23" s="1"/>
  <c r="S23" i="23" s="1"/>
  <c r="R14" i="23"/>
  <c r="R16" i="23" s="1"/>
  <c r="Q14" i="23"/>
  <c r="Q16" i="23" s="1"/>
  <c r="O14" i="23"/>
  <c r="O16" i="23" s="1"/>
  <c r="N14" i="23"/>
  <c r="N16" i="23" s="1"/>
  <c r="L14" i="23"/>
  <c r="L16" i="23" s="1"/>
  <c r="K14" i="23"/>
  <c r="K16" i="23" s="1"/>
  <c r="J14" i="23"/>
  <c r="J16" i="23" s="1"/>
  <c r="I14" i="23"/>
  <c r="I16" i="23" s="1"/>
  <c r="H14" i="23"/>
  <c r="H16" i="23" s="1"/>
  <c r="K11" i="23"/>
  <c r="E11" i="23"/>
  <c r="R11" i="23"/>
  <c r="Q11" i="23"/>
  <c r="P11" i="23"/>
  <c r="O11" i="23"/>
  <c r="N11" i="23"/>
  <c r="M11" i="23"/>
  <c r="L11" i="23"/>
  <c r="J11" i="23"/>
  <c r="I11" i="23"/>
  <c r="H11" i="23"/>
  <c r="G11" i="23"/>
  <c r="F11" i="23"/>
  <c r="F18" i="23" s="1"/>
  <c r="F23" i="23" s="1"/>
  <c r="G20" i="19"/>
  <c r="E20" i="19"/>
  <c r="P18" i="23" l="1"/>
  <c r="P23" i="23" s="1"/>
  <c r="G18" i="23"/>
  <c r="G23" i="23" s="1"/>
  <c r="M18" i="23"/>
  <c r="M23" i="23" s="1"/>
  <c r="S26" i="23"/>
  <c r="S28" i="23" s="1"/>
  <c r="S33" i="23" s="1"/>
  <c r="F26" i="23"/>
  <c r="F28" i="23" s="1"/>
  <c r="F33" i="23" s="1"/>
  <c r="M26" i="23"/>
  <c r="M28" i="23" s="1"/>
  <c r="M33" i="23" s="1"/>
  <c r="G26" i="23"/>
  <c r="G28" i="23" s="1"/>
  <c r="G33" i="23" s="1"/>
  <c r="P26" i="23"/>
  <c r="P28" i="23" s="1"/>
  <c r="P33" i="23" s="1"/>
  <c r="H18" i="23"/>
  <c r="H23" i="23" s="1"/>
  <c r="L18" i="23"/>
  <c r="L23" i="23" s="1"/>
  <c r="I18" i="23"/>
  <c r="I23" i="23" s="1"/>
  <c r="J18" i="23"/>
  <c r="J23" i="23" s="1"/>
  <c r="R18" i="23"/>
  <c r="R23" i="23" s="1"/>
  <c r="O18" i="23"/>
  <c r="O23" i="23" s="1"/>
  <c r="E18" i="23"/>
  <c r="E23" i="23" s="1"/>
  <c r="E26" i="23" s="1"/>
  <c r="N18" i="23"/>
  <c r="N23" i="23" s="1"/>
  <c r="Q18" i="23"/>
  <c r="Q23" i="23" s="1"/>
  <c r="K18" i="23"/>
  <c r="K23" i="23" s="1"/>
  <c r="G42" i="23" l="1"/>
  <c r="J26" i="23"/>
  <c r="J28" i="23" s="1"/>
  <c r="J33" i="23" s="1"/>
  <c r="R26" i="23"/>
  <c r="R28" i="23" s="1"/>
  <c r="R33" i="23" s="1"/>
  <c r="S42" i="23" s="1"/>
  <c r="I26" i="23"/>
  <c r="I28" i="23" s="1"/>
  <c r="I33" i="23" s="1"/>
  <c r="J42" i="23" s="1"/>
  <c r="K26" i="23"/>
  <c r="K28" i="23" s="1"/>
  <c r="K33" i="23" s="1"/>
  <c r="N26" i="23"/>
  <c r="N28" i="23" s="1"/>
  <c r="N33" i="23" s="1"/>
  <c r="O26" i="23"/>
  <c r="O28" i="23" s="1"/>
  <c r="O33" i="23" s="1"/>
  <c r="P42" i="23" s="1"/>
  <c r="L26" i="23"/>
  <c r="L28" i="23" s="1"/>
  <c r="L33" i="23" s="1"/>
  <c r="M42" i="23" s="1"/>
  <c r="H26" i="23"/>
  <c r="H28" i="23" s="1"/>
  <c r="H33" i="23" s="1"/>
  <c r="I42" i="23" s="1"/>
  <c r="Q26" i="23"/>
  <c r="Q28" i="23" s="1"/>
  <c r="Q33" i="23" s="1"/>
  <c r="R42" i="23" s="1"/>
  <c r="E28" i="23"/>
  <c r="E33" i="23" s="1"/>
  <c r="D38" i="23" s="1"/>
  <c r="L42" i="23" l="1"/>
  <c r="F42" i="23"/>
  <c r="E42" i="23"/>
  <c r="O42" i="23"/>
  <c r="K42" i="23"/>
  <c r="N42" i="23"/>
  <c r="Q42" i="23"/>
  <c r="H42" i="23"/>
  <c r="D39" i="23"/>
</calcChain>
</file>

<file path=xl/sharedStrings.xml><?xml version="1.0" encoding="utf-8"?>
<sst xmlns="http://schemas.openxmlformats.org/spreadsheetml/2006/main" count="103" uniqueCount="91">
  <si>
    <t>EBITDA</t>
  </si>
  <si>
    <t>Operating Activities</t>
  </si>
  <si>
    <t>Less: Capital Expenditures</t>
  </si>
  <si>
    <t>Investing Activities</t>
  </si>
  <si>
    <t>Financial Model</t>
  </si>
  <si>
    <t>Assumptions &amp; Inputs</t>
  </si>
  <si>
    <t>Metric</t>
  </si>
  <si>
    <t>Project Start Year</t>
  </si>
  <si>
    <t>Analysis Period</t>
  </si>
  <si>
    <t>Discount Rate (WACC)</t>
  </si>
  <si>
    <t>Corporate Tax Rate</t>
  </si>
  <si>
    <t>Pavement &amp; Electrical</t>
  </si>
  <si>
    <t>State Investment</t>
  </si>
  <si>
    <t>Total Initial Investment</t>
  </si>
  <si>
    <t>Value</t>
  </si>
  <si>
    <t>Notes</t>
  </si>
  <si>
    <t>A reasonable period for an infrastructure project</t>
  </si>
  <si>
    <t>Assumed WACC for a public infrastructure project. See calculation below.</t>
  </si>
  <si>
    <t>Project &amp; Timeline Assumptions</t>
  </si>
  <si>
    <t>Base Case</t>
  </si>
  <si>
    <t>Scenario 2</t>
  </si>
  <si>
    <t>Source</t>
  </si>
  <si>
    <t>Capital Expenditure (CAPEX) Assumptions</t>
  </si>
  <si>
    <t>Revenue Assumptions (Forecasting Container Volume)</t>
  </si>
  <si>
    <t>2024 Baseline TEUs</t>
  </si>
  <si>
    <t>Year 1 Growth (FY26)</t>
  </si>
  <si>
    <t>Years 2-5 Growth</t>
  </si>
  <si>
    <t>Years 11+ Growth</t>
  </si>
  <si>
    <t>Years 6-10 Growth</t>
  </si>
  <si>
    <t>Revenue per TEU</t>
  </si>
  <si>
    <t>Assumed stabilization after initial boost</t>
  </si>
  <si>
    <t>Assumed maturing operations</t>
  </si>
  <si>
    <t>Assumed long-term/perpetual growth rate</t>
  </si>
  <si>
    <r>
      <t>Critical Assumption:</t>
    </r>
    <r>
      <rPr>
        <sz val="11"/>
        <color theme="1"/>
        <rFont val="Aptos Narrow"/>
        <family val="2"/>
        <scheme val="minor"/>
      </rPr>
      <t xml:space="preserve"> Represents the average revenue generated for each container handled. This is a key variable for sensitivity analysis.</t>
    </r>
  </si>
  <si>
    <t>Operating Expense (OpEx) Assumptions</t>
  </si>
  <si>
    <r>
      <t>Assumption:</t>
    </r>
    <r>
      <rPr>
        <sz val="11"/>
        <color theme="1"/>
        <rFont val="Aptos Narrow"/>
        <family val="2"/>
        <scheme val="minor"/>
      </rPr>
      <t xml:space="preserve"> (40% of Revenue/TEU). Covers direct labor, fuel, etc.</t>
    </r>
  </si>
  <si>
    <t>Variable Cost per TEU</t>
  </si>
  <si>
    <t>Fixed Annual Costs</t>
  </si>
  <si>
    <t>WACC Calculation (For Discount Rate)</t>
  </si>
  <si>
    <t>Financing Structure</t>
  </si>
  <si>
    <t>% Equity</t>
  </si>
  <si>
    <t>% Debt</t>
  </si>
  <si>
    <t>Cost of Equity (Re)</t>
  </si>
  <si>
    <t>Cost of Debt (Rd)</t>
  </si>
  <si>
    <t>Calculated WACC</t>
  </si>
  <si>
    <t>Assumed financing mix</t>
  </si>
  <si>
    <t>Assumed required return for a public entity's equity investment</t>
  </si>
  <si>
    <t>Assumed interest rate on new debt</t>
  </si>
  <si>
    <t>FY 2025-26 Adopted Budget, p. 6</t>
  </si>
  <si>
    <t>FY 2025-26 Adopted Budget, p. 3</t>
  </si>
  <si>
    <r>
      <t>Corresponds to the</t>
    </r>
    <r>
      <rPr>
        <i/>
        <sz val="11"/>
        <color theme="1"/>
        <rFont val="Aptos Narrow"/>
        <family val="2"/>
        <scheme val="minor"/>
      </rPr>
      <t xml:space="preserve"> FY 2025-26 Adopted Budget</t>
    </r>
  </si>
  <si>
    <r>
      <t>As forecasted in the Port's budget (</t>
    </r>
    <r>
      <rPr>
        <i/>
        <sz val="11"/>
        <color theme="1"/>
        <rFont val="Aptos Narrow"/>
        <family val="2"/>
        <scheme val="minor"/>
      </rPr>
      <t>FY 2025-26 Adopted Budget, p. 3</t>
    </r>
    <r>
      <rPr>
        <sz val="11"/>
        <color theme="1"/>
        <rFont val="Aptos Narrow"/>
        <family val="2"/>
        <scheme val="minor"/>
      </rPr>
      <t>)</t>
    </r>
  </si>
  <si>
    <r>
      <t>Assumed for tax calculations (</t>
    </r>
    <r>
      <rPr>
        <i/>
        <sz val="11"/>
        <color theme="1"/>
        <rFont val="Aptos Narrow"/>
        <family val="2"/>
        <scheme val="minor"/>
      </rPr>
      <t>https://taxfoundation.org/location/united-states/</t>
    </r>
    <r>
      <rPr>
        <sz val="11"/>
        <color theme="1"/>
        <rFont val="Aptos Narrow"/>
        <family val="2"/>
        <scheme val="minor"/>
      </rPr>
      <t>)</t>
    </r>
  </si>
  <si>
    <r>
      <t>Assumption:</t>
    </r>
    <r>
      <rPr>
        <sz val="11"/>
        <color theme="1"/>
        <rFont val="Aptos Narrow"/>
        <family val="2"/>
        <scheme val="minor"/>
      </rPr>
      <t xml:space="preserve"> Covers maintenance, admin, insurance for the new assets. (2.5% of the initial purchase price, rounded)</t>
    </r>
  </si>
  <si>
    <r>
      <rPr>
        <sz val="11"/>
        <color theme="1"/>
        <rFont val="Aptos Narrow"/>
        <family val="2"/>
        <scheme val="minor"/>
      </rPr>
      <t xml:space="preserve">From </t>
    </r>
    <r>
      <rPr>
        <i/>
        <sz val="11"/>
        <color theme="1"/>
        <rFont val="Aptos Narrow"/>
        <family val="2"/>
        <scheme val="minor"/>
      </rPr>
      <t>Port of Portland Marine Terminal Statistics, 1994 - 2024</t>
    </r>
  </si>
  <si>
    <t>Year 0</t>
  </si>
  <si>
    <t>Year 1</t>
  </si>
  <si>
    <t>Year 2</t>
  </si>
  <si>
    <t>Year 3</t>
  </si>
  <si>
    <t>Year 4</t>
  </si>
  <si>
    <t>Year 5</t>
  </si>
  <si>
    <t>Year 6</t>
  </si>
  <si>
    <t>Year 7</t>
  </si>
  <si>
    <t>Year 8</t>
  </si>
  <si>
    <t>Year 9</t>
  </si>
  <si>
    <t>Year 10</t>
  </si>
  <si>
    <t>Year 11</t>
  </si>
  <si>
    <t>Year 12</t>
  </si>
  <si>
    <t>Year 13</t>
  </si>
  <si>
    <t>Year 14</t>
  </si>
  <si>
    <t>Year 15</t>
  </si>
  <si>
    <t>TEU Forecast</t>
  </si>
  <si>
    <t>EBIT</t>
  </si>
  <si>
    <t>Taxes</t>
  </si>
  <si>
    <t>NOPAT</t>
  </si>
  <si>
    <t>Unlevered Free Cash Flow</t>
  </si>
  <si>
    <t>Plus: Depreciation</t>
  </si>
  <si>
    <t>Δ Variable Costs</t>
  </si>
  <si>
    <t>Δ Fixed Costs</t>
  </si>
  <si>
    <t>Less: Operating Costs</t>
  </si>
  <si>
    <t>Total in Operating Costs</t>
  </si>
  <si>
    <t>Net Present Value (NPV)</t>
  </si>
  <si>
    <t>Internal Rate of Return (IRR)</t>
  </si>
  <si>
    <t>Payback Period</t>
  </si>
  <si>
    <t>Cumulative Cash Flow</t>
  </si>
  <si>
    <t>Chart</t>
  </si>
  <si>
    <t>DCF Model</t>
  </si>
  <si>
    <t>Capital Budgeting</t>
  </si>
  <si>
    <t>Total Revenue</t>
  </si>
  <si>
    <t>Non-Cash Charges</t>
  </si>
  <si>
    <t>Cash Flow Forecast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</si>
</sst>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6" formatCode="&quot;$&quot;#,##0_);[Red]\(&quot;$&quot;#,##0\)"/>
    <numFmt numFmtId="44" formatCode="_(&quot;$&quot;* #,##0.00_);_(&quot;$&quot;* \(#,##0.00\);_(&quot;$&quot;* &quot;-&quot;??_);_(@_)"/>
    <numFmt numFmtId="164" formatCode="_-* #,##0.00_-;\-* #,##0.00_-;_-* &quot;-&quot;??_-;_-@_-"/>
    <numFmt numFmtId="165" formatCode="#,##0;\(#,##0\);\-"/>
    <numFmt numFmtId="166" formatCode="0.0%"/>
    <numFmt numFmtId="167" formatCode="&quot;$&quot;#,##0"/>
  </numFmts>
  <fonts count="13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20"/>
      <color theme="0"/>
      <name val="Aptos Narrow"/>
      <family val="2"/>
      <scheme val="minor"/>
    </font>
    <font>
      <b/>
      <sz val="15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i/>
      <sz val="11"/>
      <color theme="4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  <font>
      <sz val="8"/>
      <name val="Aptos Narrow"/>
      <family val="2"/>
      <scheme val="minor"/>
    </font>
    <font>
      <i/>
      <u/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16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9" fontId="4" fillId="0" borderId="0" applyFont="0" applyFill="0" applyBorder="0" applyAlignment="0" applyProtection="0"/>
  </cellStyleXfs>
  <cellXfs count="52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0" fillId="3" borderId="1" xfId="0" applyFill="1" applyBorder="1"/>
    <xf numFmtId="0" fontId="3" fillId="3" borderId="1" xfId="0" applyFont="1" applyFill="1" applyBorder="1"/>
    <xf numFmtId="0" fontId="5" fillId="5" borderId="0" xfId="0" applyFont="1" applyFill="1" applyAlignment="1">
      <alignment horizontal="center"/>
    </xf>
    <xf numFmtId="0" fontId="6" fillId="0" borderId="0" xfId="0" applyFont="1"/>
    <xf numFmtId="0" fontId="6" fillId="4" borderId="1" xfId="0" applyFont="1" applyFill="1" applyBorder="1"/>
    <xf numFmtId="0" fontId="0" fillId="4" borderId="1" xfId="0" applyFill="1" applyBorder="1"/>
    <xf numFmtId="0" fontId="6" fillId="3" borderId="1" xfId="0" applyFont="1" applyFill="1" applyBorder="1"/>
    <xf numFmtId="0" fontId="8" fillId="0" borderId="0" xfId="0" applyFont="1" applyAlignment="1">
      <alignment horizontal="center"/>
    </xf>
    <xf numFmtId="0" fontId="9" fillId="0" borderId="0" xfId="0" applyFont="1"/>
    <xf numFmtId="0" fontId="7" fillId="0" borderId="0" xfId="0" applyFont="1"/>
    <xf numFmtId="0" fontId="7" fillId="0" borderId="2" xfId="0" applyFont="1" applyBorder="1"/>
    <xf numFmtId="0" fontId="0" fillId="0" borderId="2" xfId="0" applyBorder="1"/>
    <xf numFmtId="165" fontId="0" fillId="0" borderId="0" xfId="0" applyNumberFormat="1"/>
    <xf numFmtId="165" fontId="0" fillId="0" borderId="0" xfId="1" applyNumberFormat="1" applyFont="1"/>
    <xf numFmtId="165" fontId="0" fillId="0" borderId="2" xfId="0" applyNumberFormat="1" applyBorder="1"/>
    <xf numFmtId="165" fontId="6" fillId="4" borderId="1" xfId="0" applyNumberFormat="1" applyFont="1" applyFill="1" applyBorder="1"/>
    <xf numFmtId="165" fontId="6" fillId="3" borderId="1" xfId="0" applyNumberFormat="1" applyFont="1" applyFill="1" applyBorder="1"/>
    <xf numFmtId="10" fontId="0" fillId="0" borderId="0" xfId="0" applyNumberFormat="1"/>
    <xf numFmtId="0" fontId="0" fillId="2" borderId="0" xfId="0" applyFill="1"/>
    <xf numFmtId="10" fontId="0" fillId="2" borderId="0" xfId="0" applyNumberFormat="1" applyFill="1"/>
    <xf numFmtId="166" fontId="0" fillId="0" borderId="0" xfId="0" applyNumberFormat="1"/>
    <xf numFmtId="0" fontId="0" fillId="0" borderId="0" xfId="1" applyNumberFormat="1" applyFont="1"/>
    <xf numFmtId="9" fontId="0" fillId="0" borderId="0" xfId="3" applyFont="1"/>
    <xf numFmtId="0" fontId="0" fillId="0" borderId="0" xfId="1" applyNumberFormat="1" applyFont="1" applyAlignment="1">
      <alignment horizontal="left"/>
    </xf>
    <xf numFmtId="0" fontId="10" fillId="0" borderId="0" xfId="0" applyFont="1"/>
    <xf numFmtId="0" fontId="0" fillId="0" borderId="3" xfId="1" applyNumberFormat="1" applyFont="1" applyBorder="1"/>
    <xf numFmtId="9" fontId="0" fillId="0" borderId="3" xfId="3" applyFont="1" applyBorder="1"/>
    <xf numFmtId="3" fontId="6" fillId="0" borderId="0" xfId="0" applyNumberFormat="1" applyFont="1"/>
    <xf numFmtId="165" fontId="0" fillId="0" borderId="3" xfId="1" applyNumberFormat="1" applyFont="1" applyBorder="1"/>
    <xf numFmtId="166" fontId="0" fillId="0" borderId="3" xfId="0" applyNumberFormat="1" applyBorder="1"/>
    <xf numFmtId="165" fontId="0" fillId="0" borderId="0" xfId="1" applyNumberFormat="1" applyFont="1" applyBorder="1"/>
    <xf numFmtId="3" fontId="0" fillId="0" borderId="4" xfId="0" applyNumberFormat="1" applyBorder="1"/>
    <xf numFmtId="0" fontId="0" fillId="0" borderId="0" xfId="1" applyNumberFormat="1" applyFont="1" applyBorder="1"/>
    <xf numFmtId="166" fontId="0" fillId="0" borderId="0" xfId="3" applyNumberFormat="1" applyFont="1" applyBorder="1"/>
    <xf numFmtId="9" fontId="0" fillId="0" borderId="0" xfId="3" applyFont="1" applyBorder="1"/>
    <xf numFmtId="3" fontId="0" fillId="0" borderId="0" xfId="0" applyNumberFormat="1"/>
    <xf numFmtId="167" fontId="0" fillId="0" borderId="3" xfId="2" applyNumberFormat="1" applyFont="1" applyBorder="1"/>
    <xf numFmtId="167" fontId="6" fillId="0" borderId="3" xfId="0" applyNumberFormat="1" applyFont="1" applyBorder="1"/>
    <xf numFmtId="9" fontId="0" fillId="0" borderId="3" xfId="0" applyNumberFormat="1" applyBorder="1"/>
    <xf numFmtId="10" fontId="0" fillId="0" borderId="1" xfId="0" applyNumberFormat="1" applyBorder="1"/>
    <xf numFmtId="10" fontId="0" fillId="0" borderId="3" xfId="3" applyNumberFormat="1" applyFont="1" applyBorder="1"/>
    <xf numFmtId="165" fontId="7" fillId="0" borderId="0" xfId="1" applyNumberFormat="1" applyFont="1"/>
    <xf numFmtId="0" fontId="12" fillId="0" borderId="0" xfId="0" applyFont="1"/>
    <xf numFmtId="0" fontId="0" fillId="0" borderId="0" xfId="0" quotePrefix="1" applyAlignment="1">
      <alignment horizontal="left" indent="1"/>
    </xf>
    <xf numFmtId="0" fontId="0" fillId="0" borderId="0" xfId="0" applyAlignment="1">
      <alignment horizontal="left" indent="1"/>
    </xf>
    <xf numFmtId="0" fontId="5" fillId="2" borderId="0" xfId="0" applyFont="1" applyFill="1"/>
    <xf numFmtId="14" fontId="0" fillId="0" borderId="0" xfId="0" applyNumberFormat="1"/>
    <xf numFmtId="0" fontId="5" fillId="2" borderId="0" xfId="0" applyFont="1" applyFill="1" applyAlignment="1">
      <alignment horizontal="center"/>
    </xf>
    <xf numFmtId="6" fontId="0" fillId="0" borderId="0" xfId="0" applyNumberFormat="1"/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none" spc="5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PROJECTED ANNUAL REVENUE AND EBITDA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'DCF Model'!$B$11</c:f>
              <c:strCache>
                <c:ptCount val="1"/>
                <c:pt idx="0">
                  <c:v>Total Revenue</c:v>
                </c:pt>
              </c:strCache>
            </c:strRef>
          </c:tx>
          <c:spPr>
            <a:solidFill>
              <a:schemeClr val="accent1">
                <a:tint val="77000"/>
                <a:alpha val="70000"/>
              </a:schemeClr>
            </a:solidFill>
            <a:ln>
              <a:noFill/>
            </a:ln>
            <a:effectLst/>
          </c:spPr>
          <c:invertIfNegative val="0"/>
          <c:val>
            <c:numRef>
              <c:f>'DCF Model'!$E$11:$S$11</c:f>
              <c:numCache>
                <c:formatCode>#,##0;\(#,##0\);\-</c:formatCode>
                <c:ptCount val="15"/>
                <c:pt idx="0">
                  <c:v>31182854.699999996</c:v>
                </c:pt>
                <c:pt idx="1">
                  <c:v>32430168.888</c:v>
                </c:pt>
                <c:pt idx="2">
                  <c:v>33727375.643519998</c:v>
                </c:pt>
                <c:pt idx="3">
                  <c:v>35076470.6692608</c:v>
                </c:pt>
                <c:pt idx="4">
                  <c:v>36479529.496031232</c:v>
                </c:pt>
                <c:pt idx="5">
                  <c:v>37573915.38091217</c:v>
                </c:pt>
                <c:pt idx="6">
                  <c:v>38701132.842339538</c:v>
                </c:pt>
                <c:pt idx="7">
                  <c:v>39862166.827609725</c:v>
                </c:pt>
                <c:pt idx="8">
                  <c:v>41058031.832438014</c:v>
                </c:pt>
                <c:pt idx="9">
                  <c:v>42289772.787411161</c:v>
                </c:pt>
                <c:pt idx="10">
                  <c:v>43135568.243159384</c:v>
                </c:pt>
                <c:pt idx="11">
                  <c:v>43998279.608022571</c:v>
                </c:pt>
                <c:pt idx="12">
                  <c:v>44878245.200183026</c:v>
                </c:pt>
                <c:pt idx="13">
                  <c:v>45775810.104186684</c:v>
                </c:pt>
                <c:pt idx="14">
                  <c:v>46691326.306270421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90-480D-843B-367224DF8FBE}"/>
            </c:ext>
          </c:extLst>
        </c:ser>
        <c:ser>
          <c:idx val="1"/>
          <c:order val="1"/>
          <c:tx>
            <c:strRef>
              <c:f>'DCF Model'!$B$18</c:f>
              <c:strCache>
                <c:ptCount val="1"/>
                <c:pt idx="0">
                  <c:v>EBITDA</c:v>
                </c:pt>
              </c:strCache>
            </c:strRef>
          </c:tx>
          <c:spPr>
            <a:solidFill>
              <a:schemeClr val="accent1">
                <a:shade val="76000"/>
                <a:alpha val="70000"/>
              </a:schemeClr>
            </a:solidFill>
            <a:ln>
              <a:noFill/>
            </a:ln>
            <a:effectLst/>
          </c:spPr>
          <c:invertIfNegative val="0"/>
          <c:val>
            <c:numRef>
              <c:f>'DCF Model'!$E$18:$S$18</c:f>
              <c:numCache>
                <c:formatCode>#,##0;\(#,##0\);\-</c:formatCode>
                <c:ptCount val="15"/>
                <c:pt idx="0">
                  <c:v>18209712.819999997</c:v>
                </c:pt>
                <c:pt idx="1">
                  <c:v>18958101.332800001</c:v>
                </c:pt>
                <c:pt idx="2">
                  <c:v>19736425.386111997</c:v>
                </c:pt>
                <c:pt idx="3">
                  <c:v>20545882.401556481</c:v>
                </c:pt>
                <c:pt idx="4">
                  <c:v>21387717.697618738</c:v>
                </c:pt>
                <c:pt idx="5">
                  <c:v>22044349.228547301</c:v>
                </c:pt>
                <c:pt idx="6">
                  <c:v>22720679.705403723</c:v>
                </c:pt>
                <c:pt idx="7">
                  <c:v>23417300.096565835</c:v>
                </c:pt>
                <c:pt idx="8">
                  <c:v>24134819.099462807</c:v>
                </c:pt>
                <c:pt idx="9">
                  <c:v>24873863.672446698</c:v>
                </c:pt>
                <c:pt idx="10">
                  <c:v>25381340.945895631</c:v>
                </c:pt>
                <c:pt idx="11">
                  <c:v>25898967.764813542</c:v>
                </c:pt>
                <c:pt idx="12">
                  <c:v>26426947.120109815</c:v>
                </c:pt>
                <c:pt idx="13">
                  <c:v>26965486.06251201</c:v>
                </c:pt>
                <c:pt idx="14">
                  <c:v>27514795.783762254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290-480D-843B-367224DF8F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0"/>
        <c:overlap val="25"/>
        <c:axId val="2075983856"/>
        <c:axId val="2075979536"/>
      </c:barChart>
      <c:catAx>
        <c:axId val="20759838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Forecast 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5979536"/>
        <c:crosses val="autoZero"/>
        <c:auto val="1"/>
        <c:lblAlgn val="ctr"/>
        <c:lblOffset val="100"/>
        <c:noMultiLvlLbl val="0"/>
      </c:catAx>
      <c:valAx>
        <c:axId val="2075979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USD ($)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0&quot;M&quot;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5983856"/>
        <c:crosses val="autoZero"/>
        <c:crossBetween val="between"/>
        <c:dispUnits>
          <c:builtInUnit val="millions"/>
        </c:dispUnits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Reversed" id="21">
  <a:schemeClr val="accent1"/>
</cs:colorStyle>
</file>

<file path=xl/charts/style1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66675</xdr:colOff>
      <xdr:row>44</xdr:row>
      <xdr:rowOff>123825</xdr:rowOff>
    </xdr:from>
    <xdr:to>
      <xdr:col>8</xdr:col>
      <xdr:colOff>57150</xdr:colOff>
      <xdr:row>66</xdr:row>
      <xdr:rowOff>147320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D8F98D7-2ACA-C306-2FF4-3EAB6EC2A4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80A73-15B7-48E6-BDB3-A93D70E018AD}">
  <sheetPr>
    <tabColor theme="0"/>
  </sheetPr>
  <dimension ref="A1"/>
  <sheetViews>
    <sheetView topLeftCell="XFD1048576" workbookViewId="0">
      <selection sqref="A1:XFD1048576"/>
    </sheetView>
  </sheetViews>
  <sheetFormatPr defaultColWidth="0" defaultRowHeight="14.5" zeroHeight="1" x14ac:dyDescent="0.35"/>
  <cols>
    <col min="1" max="16384" width="8.81640625" hidden="1"/>
  </cols>
  <sheetData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17851-1E58-4CA9-866B-B9A053547D52}">
  <dimension ref="A1:J48"/>
  <sheetViews>
    <sheetView showGridLines="0" tabSelected="1" workbookViewId="0">
      <selection activeCell="E48" sqref="E48"/>
    </sheetView>
  </sheetViews>
  <sheetFormatPr defaultRowHeight="14.5" x14ac:dyDescent="0.35"/>
  <cols>
    <col min="1" max="2" width="1.6328125" customWidth="1"/>
    <col min="3" max="3" width="44.1796875" customWidth="1"/>
    <col min="4" max="4" width="1.6328125" customWidth="1"/>
    <col min="5" max="5" width="13.1796875" customWidth="1"/>
    <col min="6" max="6" width="1.6328125" customWidth="1"/>
    <col min="7" max="7" width="13.1796875" customWidth="1"/>
    <col min="8" max="8" width="1.6328125" customWidth="1"/>
    <col min="9" max="9" width="13.1796875" bestFit="1" customWidth="1"/>
    <col min="10" max="10" width="40.90625" customWidth="1"/>
  </cols>
  <sheetData>
    <row r="1" spans="1:10" s="1" customFormat="1" ht="26" x14ac:dyDescent="0.6">
      <c r="A1" s="2" t="s">
        <v>87</v>
      </c>
    </row>
    <row r="2" spans="1:10" s="3" customFormat="1" ht="19.5" x14ac:dyDescent="0.45">
      <c r="B2" s="4" t="s">
        <v>5</v>
      </c>
      <c r="C2" s="4"/>
    </row>
    <row r="3" spans="1:10" s="27" customFormat="1" ht="5.15" customHeight="1" x14ac:dyDescent="0.25"/>
    <row r="4" spans="1:10" x14ac:dyDescent="0.35">
      <c r="E4" s="5" t="s">
        <v>14</v>
      </c>
      <c r="F4" s="5"/>
      <c r="G4" s="5" t="s">
        <v>15</v>
      </c>
      <c r="H4" s="5"/>
    </row>
    <row r="5" spans="1:10" x14ac:dyDescent="0.35">
      <c r="B5" s="6" t="s">
        <v>18</v>
      </c>
    </row>
    <row r="6" spans="1:10" ht="4.9000000000000004" customHeight="1" x14ac:dyDescent="0.35">
      <c r="B6" s="6"/>
    </row>
    <row r="7" spans="1:10" x14ac:dyDescent="0.35">
      <c r="B7" s="11" t="s">
        <v>6</v>
      </c>
      <c r="J7" s="16"/>
    </row>
    <row r="8" spans="1:10" x14ac:dyDescent="0.35">
      <c r="C8" t="s">
        <v>7</v>
      </c>
      <c r="E8" s="28">
        <v>2026</v>
      </c>
      <c r="F8" s="35"/>
      <c r="G8" s="26" t="s">
        <v>50</v>
      </c>
      <c r="H8" s="26"/>
      <c r="J8" s="16"/>
    </row>
    <row r="9" spans="1:10" x14ac:dyDescent="0.35">
      <c r="C9" t="s">
        <v>8</v>
      </c>
      <c r="E9" s="28">
        <v>15</v>
      </c>
      <c r="F9" s="35"/>
      <c r="G9" s="26" t="s">
        <v>16</v>
      </c>
      <c r="H9" s="26"/>
      <c r="J9" s="16"/>
    </row>
    <row r="10" spans="1:10" x14ac:dyDescent="0.35">
      <c r="C10" t="s">
        <v>9</v>
      </c>
      <c r="E10" s="43">
        <f>E48</f>
        <v>7.6499999999999999E-2</v>
      </c>
      <c r="F10" s="36"/>
      <c r="G10" s="26" t="s">
        <v>17</v>
      </c>
      <c r="H10" s="26"/>
      <c r="J10" s="16"/>
    </row>
    <row r="11" spans="1:10" x14ac:dyDescent="0.35">
      <c r="C11" t="s">
        <v>10</v>
      </c>
      <c r="E11" s="29">
        <v>0.25</v>
      </c>
      <c r="F11" s="37"/>
      <c r="G11" s="26" t="s">
        <v>52</v>
      </c>
      <c r="H11" s="26"/>
      <c r="J11" s="16"/>
    </row>
    <row r="12" spans="1:10" x14ac:dyDescent="0.35">
      <c r="E12" s="25"/>
      <c r="F12" s="25"/>
      <c r="G12" s="25"/>
      <c r="H12" s="25"/>
      <c r="I12" s="24"/>
      <c r="J12" s="16"/>
    </row>
    <row r="13" spans="1:10" ht="14.5" customHeight="1" x14ac:dyDescent="0.35">
      <c r="B13" s="6"/>
      <c r="E13" s="5" t="s">
        <v>19</v>
      </c>
      <c r="F13" s="5"/>
      <c r="G13" s="5" t="s">
        <v>20</v>
      </c>
      <c r="H13" s="5"/>
      <c r="I13" s="5" t="s">
        <v>21</v>
      </c>
    </row>
    <row r="14" spans="1:10" ht="14.5" customHeight="1" x14ac:dyDescent="0.35">
      <c r="B14" s="6" t="s">
        <v>22</v>
      </c>
    </row>
    <row r="15" spans="1:10" ht="4.9000000000000004" customHeight="1" x14ac:dyDescent="0.35">
      <c r="B15" s="6"/>
    </row>
    <row r="16" spans="1:10" x14ac:dyDescent="0.35">
      <c r="B16" s="11" t="s">
        <v>6</v>
      </c>
      <c r="J16" s="16"/>
    </row>
    <row r="17" spans="2:10" x14ac:dyDescent="0.35">
      <c r="C17" t="s">
        <v>11</v>
      </c>
      <c r="E17" s="39">
        <v>21000000</v>
      </c>
      <c r="F17" s="33"/>
      <c r="G17" s="31">
        <v>21000000</v>
      </c>
      <c r="H17" s="33"/>
      <c r="I17" s="44" t="s">
        <v>48</v>
      </c>
    </row>
    <row r="18" spans="2:10" x14ac:dyDescent="0.35">
      <c r="C18" t="s">
        <v>12</v>
      </c>
      <c r="E18" s="31"/>
      <c r="F18" s="33"/>
      <c r="G18" s="31">
        <v>40000000</v>
      </c>
      <c r="H18" s="33"/>
      <c r="I18" s="44" t="s">
        <v>49</v>
      </c>
    </row>
    <row r="19" spans="2:10" ht="4.9000000000000004" customHeight="1" x14ac:dyDescent="0.35">
      <c r="E19" s="33"/>
      <c r="F19" s="33"/>
      <c r="G19" s="33"/>
      <c r="H19" s="33"/>
      <c r="I19" s="16"/>
    </row>
    <row r="20" spans="2:10" x14ac:dyDescent="0.35">
      <c r="B20" s="6" t="s">
        <v>13</v>
      </c>
      <c r="C20" s="6"/>
      <c r="D20" s="6"/>
      <c r="E20" s="34">
        <f>SUM(E17:E18)</f>
        <v>21000000</v>
      </c>
      <c r="F20" s="34"/>
      <c r="G20" s="34">
        <f>SUM(G17:G18)</f>
        <v>61000000</v>
      </c>
      <c r="H20" s="38"/>
      <c r="I20" s="6"/>
      <c r="J20" s="6"/>
    </row>
    <row r="21" spans="2:10" x14ac:dyDescent="0.35">
      <c r="B21" s="6"/>
      <c r="C21" s="6"/>
      <c r="D21" s="6"/>
      <c r="E21" s="30"/>
      <c r="F21" s="30"/>
      <c r="G21" s="30"/>
      <c r="H21" s="30"/>
      <c r="I21" s="6"/>
      <c r="J21" s="6"/>
    </row>
    <row r="22" spans="2:10" x14ac:dyDescent="0.35">
      <c r="B22" s="6"/>
      <c r="C22" s="6"/>
      <c r="D22" s="6"/>
      <c r="E22" s="5" t="s">
        <v>14</v>
      </c>
      <c r="F22" s="5"/>
      <c r="G22" s="5" t="s">
        <v>15</v>
      </c>
      <c r="H22" s="5"/>
      <c r="I22" s="6"/>
      <c r="J22" s="6"/>
    </row>
    <row r="23" spans="2:10" x14ac:dyDescent="0.35">
      <c r="B23" s="6" t="s">
        <v>23</v>
      </c>
    </row>
    <row r="24" spans="2:10" ht="4.9000000000000004" customHeight="1" x14ac:dyDescent="0.35">
      <c r="B24" s="6"/>
    </row>
    <row r="25" spans="2:10" x14ac:dyDescent="0.35">
      <c r="B25" s="11" t="s">
        <v>6</v>
      </c>
      <c r="J25" s="16"/>
    </row>
    <row r="26" spans="2:10" x14ac:dyDescent="0.35">
      <c r="C26" t="s">
        <v>24</v>
      </c>
      <c r="E26" s="31">
        <v>98899</v>
      </c>
      <c r="F26" s="33"/>
      <c r="G26" s="12" t="s">
        <v>54</v>
      </c>
      <c r="J26" s="16"/>
    </row>
    <row r="27" spans="2:10" x14ac:dyDescent="0.35">
      <c r="C27" t="s">
        <v>25</v>
      </c>
      <c r="E27" s="32">
        <v>5.0999999999999997E-2</v>
      </c>
      <c r="F27" s="23"/>
      <c r="G27" t="s">
        <v>51</v>
      </c>
      <c r="J27" s="16"/>
    </row>
    <row r="28" spans="2:10" x14ac:dyDescent="0.35">
      <c r="C28" t="s">
        <v>26</v>
      </c>
      <c r="E28" s="32">
        <v>0.04</v>
      </c>
      <c r="F28" s="23"/>
      <c r="G28" t="s">
        <v>30</v>
      </c>
      <c r="J28" s="16"/>
    </row>
    <row r="29" spans="2:10" x14ac:dyDescent="0.35">
      <c r="C29" t="s">
        <v>28</v>
      </c>
      <c r="E29" s="32">
        <v>0.03</v>
      </c>
      <c r="F29" s="23"/>
      <c r="G29" t="s">
        <v>31</v>
      </c>
      <c r="J29" s="16"/>
    </row>
    <row r="30" spans="2:10" x14ac:dyDescent="0.35">
      <c r="C30" t="s">
        <v>27</v>
      </c>
      <c r="E30" s="32">
        <v>0.02</v>
      </c>
      <c r="F30" s="23"/>
      <c r="G30" t="s">
        <v>32</v>
      </c>
      <c r="J30" s="16"/>
    </row>
    <row r="31" spans="2:10" x14ac:dyDescent="0.35">
      <c r="C31" s="6" t="s">
        <v>29</v>
      </c>
      <c r="D31" s="6"/>
      <c r="E31" s="40">
        <v>300</v>
      </c>
      <c r="F31" s="6"/>
      <c r="G31" s="6" t="s">
        <v>33</v>
      </c>
      <c r="H31" s="6"/>
      <c r="J31" s="6"/>
    </row>
    <row r="33" spans="2:10" x14ac:dyDescent="0.35">
      <c r="B33" s="6"/>
      <c r="C33" s="6"/>
      <c r="D33" s="6"/>
      <c r="E33" s="5" t="s">
        <v>14</v>
      </c>
      <c r="F33" s="5"/>
      <c r="G33" s="5" t="s">
        <v>15</v>
      </c>
      <c r="H33" s="5"/>
      <c r="I33" s="6"/>
      <c r="J33" s="6"/>
    </row>
    <row r="34" spans="2:10" x14ac:dyDescent="0.35">
      <c r="B34" s="6" t="s">
        <v>34</v>
      </c>
    </row>
    <row r="35" spans="2:10" ht="4.9000000000000004" customHeight="1" x14ac:dyDescent="0.35">
      <c r="B35" s="6"/>
    </row>
    <row r="36" spans="2:10" x14ac:dyDescent="0.35">
      <c r="B36" s="11" t="s">
        <v>6</v>
      </c>
      <c r="J36" s="16"/>
    </row>
    <row r="37" spans="2:10" x14ac:dyDescent="0.35">
      <c r="C37" t="s">
        <v>36</v>
      </c>
      <c r="E37" s="39">
        <v>120</v>
      </c>
      <c r="F37" s="33"/>
      <c r="G37" s="6" t="s">
        <v>35</v>
      </c>
      <c r="J37" s="16"/>
    </row>
    <row r="38" spans="2:10" x14ac:dyDescent="0.35">
      <c r="C38" t="s">
        <v>37</v>
      </c>
      <c r="E38" s="39">
        <v>500000</v>
      </c>
      <c r="F38" s="23"/>
      <c r="G38" s="6" t="s">
        <v>53</v>
      </c>
      <c r="J38" s="16"/>
    </row>
    <row r="40" spans="2:10" x14ac:dyDescent="0.35">
      <c r="B40" s="6"/>
      <c r="C40" s="6"/>
      <c r="D40" s="6"/>
      <c r="E40" s="5" t="s">
        <v>14</v>
      </c>
      <c r="F40" s="5"/>
      <c r="G40" s="5" t="s">
        <v>15</v>
      </c>
      <c r="H40" s="5"/>
      <c r="I40" s="6"/>
      <c r="J40" s="6"/>
    </row>
    <row r="41" spans="2:10" x14ac:dyDescent="0.35">
      <c r="B41" s="6" t="s">
        <v>38</v>
      </c>
    </row>
    <row r="42" spans="2:10" ht="4.9000000000000004" customHeight="1" x14ac:dyDescent="0.35">
      <c r="B42" s="6"/>
    </row>
    <row r="43" spans="2:10" x14ac:dyDescent="0.35">
      <c r="B43" s="11" t="s">
        <v>39</v>
      </c>
      <c r="J43" s="16"/>
    </row>
    <row r="44" spans="2:10" x14ac:dyDescent="0.35">
      <c r="C44" t="s">
        <v>40</v>
      </c>
      <c r="E44" s="41">
        <v>0.6</v>
      </c>
      <c r="F44" s="33"/>
      <c r="G44" t="s">
        <v>45</v>
      </c>
      <c r="J44" s="16"/>
    </row>
    <row r="45" spans="2:10" x14ac:dyDescent="0.35">
      <c r="C45" t="s">
        <v>41</v>
      </c>
      <c r="E45" s="41">
        <v>0.4</v>
      </c>
      <c r="F45" s="23"/>
      <c r="G45" t="s">
        <v>45</v>
      </c>
      <c r="J45" s="16"/>
    </row>
    <row r="46" spans="2:10" x14ac:dyDescent="0.35">
      <c r="C46" t="s">
        <v>42</v>
      </c>
      <c r="E46" s="32">
        <v>0.1</v>
      </c>
      <c r="G46" t="s">
        <v>46</v>
      </c>
    </row>
    <row r="47" spans="2:10" x14ac:dyDescent="0.35">
      <c r="C47" t="s">
        <v>43</v>
      </c>
      <c r="E47" s="32">
        <v>5.5E-2</v>
      </c>
      <c r="G47" t="s">
        <v>47</v>
      </c>
    </row>
    <row r="48" spans="2:10" x14ac:dyDescent="0.35">
      <c r="B48" s="6" t="s">
        <v>44</v>
      </c>
      <c r="E48" s="42">
        <f>(E44*E46)+(E45*E47*(1-E11))</f>
        <v>7.6499999999999999E-2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C1247-909D-4B10-9EC7-AA92B0BE0133}">
  <dimension ref="A1:S50"/>
  <sheetViews>
    <sheetView showGridLines="0" workbookViewId="0">
      <selection activeCell="B7" sqref="B7"/>
    </sheetView>
  </sheetViews>
  <sheetFormatPr defaultRowHeight="14.5" x14ac:dyDescent="0.35"/>
  <cols>
    <col min="1" max="1" width="1.7265625" customWidth="1"/>
    <col min="2" max="2" width="27.7265625" bestFit="1" customWidth="1"/>
    <col min="3" max="3" width="1.7265625" customWidth="1"/>
    <col min="4" max="4" width="15.1796875" bestFit="1" customWidth="1"/>
    <col min="5" max="13" width="13.1796875" bestFit="1" customWidth="1"/>
    <col min="14" max="19" width="13.1796875" customWidth="1"/>
    <col min="20" max="20" width="2.6328125" customWidth="1"/>
  </cols>
  <sheetData>
    <row r="1" spans="1:19" s="1" customFormat="1" ht="26" x14ac:dyDescent="0.6">
      <c r="A1" s="2" t="s">
        <v>87</v>
      </c>
    </row>
    <row r="2" spans="1:19" s="3" customFormat="1" ht="19.5" x14ac:dyDescent="0.45">
      <c r="B2" s="4" t="s">
        <v>86</v>
      </c>
      <c r="C2" s="4"/>
    </row>
    <row r="3" spans="1:19" ht="4.9000000000000004" customHeight="1" x14ac:dyDescent="0.35"/>
    <row r="4" spans="1:19" x14ac:dyDescent="0.35">
      <c r="D4" s="10">
        <v>2025</v>
      </c>
      <c r="E4" s="10">
        <v>2026</v>
      </c>
      <c r="F4" s="10">
        <v>2027</v>
      </c>
      <c r="G4" s="10">
        <v>2028</v>
      </c>
      <c r="H4" s="10">
        <v>2029</v>
      </c>
      <c r="I4" s="10">
        <v>2030</v>
      </c>
      <c r="J4" s="10">
        <v>2031</v>
      </c>
      <c r="K4" s="10">
        <v>2032</v>
      </c>
      <c r="L4" s="10">
        <v>2033</v>
      </c>
      <c r="M4" s="10">
        <v>2034</v>
      </c>
      <c r="N4" s="10">
        <v>2035</v>
      </c>
      <c r="O4" s="10">
        <v>2036</v>
      </c>
      <c r="P4" s="10">
        <v>2037</v>
      </c>
      <c r="Q4" s="10">
        <v>2038</v>
      </c>
      <c r="R4" s="10">
        <v>2039</v>
      </c>
      <c r="S4" s="10">
        <v>2040</v>
      </c>
    </row>
    <row r="5" spans="1:19" x14ac:dyDescent="0.35">
      <c r="D5" s="5" t="s">
        <v>55</v>
      </c>
      <c r="E5" s="5" t="s">
        <v>56</v>
      </c>
      <c r="F5" s="5" t="s">
        <v>57</v>
      </c>
      <c r="G5" s="5" t="s">
        <v>58</v>
      </c>
      <c r="H5" s="5" t="s">
        <v>59</v>
      </c>
      <c r="I5" s="5" t="s">
        <v>60</v>
      </c>
      <c r="J5" s="5" t="s">
        <v>61</v>
      </c>
      <c r="K5" s="5" t="s">
        <v>62</v>
      </c>
      <c r="L5" s="5" t="s">
        <v>63</v>
      </c>
      <c r="M5" s="5" t="s">
        <v>64</v>
      </c>
      <c r="N5" s="5" t="s">
        <v>65</v>
      </c>
      <c r="O5" s="5" t="s">
        <v>66</v>
      </c>
      <c r="P5" s="5" t="s">
        <v>67</v>
      </c>
      <c r="Q5" s="5" t="s">
        <v>68</v>
      </c>
      <c r="R5" s="5" t="s">
        <v>69</v>
      </c>
      <c r="S5" s="5" t="s">
        <v>70</v>
      </c>
    </row>
    <row r="6" spans="1:19" ht="4.9000000000000004" customHeight="1" x14ac:dyDescent="0.35"/>
    <row r="7" spans="1:19" ht="14.5" customHeight="1" x14ac:dyDescent="0.35">
      <c r="B7" s="6" t="s">
        <v>90</v>
      </c>
    </row>
    <row r="8" spans="1:19" ht="4.9000000000000004" customHeight="1" x14ac:dyDescent="0.35"/>
    <row r="9" spans="1:19" x14ac:dyDescent="0.35">
      <c r="B9" s="45" t="s">
        <v>1</v>
      </c>
    </row>
    <row r="10" spans="1:19" x14ac:dyDescent="0.35">
      <c r="B10" s="47" t="s">
        <v>71</v>
      </c>
      <c r="D10" s="16"/>
      <c r="E10" s="16">
        <f>'Assumptions &amp; Inputs'!E26*(1+'Assumptions &amp; Inputs'!E27)</f>
        <v>103942.84899999999</v>
      </c>
      <c r="F10" s="16">
        <f>E10*(1+'Assumptions &amp; Inputs'!$E28)</f>
        <v>108100.56296</v>
      </c>
      <c r="G10" s="16">
        <f>F10*(1+'Assumptions &amp; Inputs'!$E28)</f>
        <v>112424.5854784</v>
      </c>
      <c r="H10" s="16">
        <f>G10*(1+'Assumptions &amp; Inputs'!$E28)</f>
        <v>116921.568897536</v>
      </c>
      <c r="I10" s="16">
        <f>H10*(1+'Assumptions &amp; Inputs'!$E28)</f>
        <v>121598.43165343744</v>
      </c>
      <c r="J10" s="15">
        <f>I10*(1+'Assumptions &amp; Inputs'!$E29)</f>
        <v>125246.38460304057</v>
      </c>
      <c r="K10" s="15">
        <f>J10*(1+'Assumptions &amp; Inputs'!$E29)</f>
        <v>129003.77614113179</v>
      </c>
      <c r="L10" s="15">
        <f>K10*(1+'Assumptions &amp; Inputs'!$E29)</f>
        <v>132873.88942536575</v>
      </c>
      <c r="M10" s="15">
        <f>L10*(1+'Assumptions &amp; Inputs'!$E29)</f>
        <v>136860.10610812673</v>
      </c>
      <c r="N10" s="15">
        <f>M10*(1+'Assumptions &amp; Inputs'!$E29)</f>
        <v>140965.90929137054</v>
      </c>
      <c r="O10" s="15">
        <f>N10*(1+'Assumptions &amp; Inputs'!$E30)</f>
        <v>143785.22747719794</v>
      </c>
      <c r="P10" s="15">
        <f>O10*(1+'Assumptions &amp; Inputs'!$E30)</f>
        <v>146660.93202674191</v>
      </c>
      <c r="Q10" s="15">
        <f>P10*(1+'Assumptions &amp; Inputs'!$E30)</f>
        <v>149594.15066727676</v>
      </c>
      <c r="R10" s="15">
        <f>Q10*(1+'Assumptions &amp; Inputs'!$E30)</f>
        <v>152586.03368062229</v>
      </c>
      <c r="S10" s="15">
        <f>R10*(1+'Assumptions &amp; Inputs'!$E30)</f>
        <v>155637.75435423473</v>
      </c>
    </row>
    <row r="11" spans="1:19" x14ac:dyDescent="0.35">
      <c r="B11" s="7" t="s">
        <v>88</v>
      </c>
      <c r="C11" s="8"/>
      <c r="D11" s="18"/>
      <c r="E11" s="18">
        <f>E10*'Assumptions &amp; Inputs'!$E$31</f>
        <v>31182854.699999996</v>
      </c>
      <c r="F11" s="18">
        <f>F10*'Assumptions &amp; Inputs'!$E$31</f>
        <v>32430168.888</v>
      </c>
      <c r="G11" s="18">
        <f>G10*'Assumptions &amp; Inputs'!$E$31</f>
        <v>33727375.643519998</v>
      </c>
      <c r="H11" s="18">
        <f>H10*'Assumptions &amp; Inputs'!$E$31</f>
        <v>35076470.6692608</v>
      </c>
      <c r="I11" s="18">
        <f>I10*'Assumptions &amp; Inputs'!$E$31</f>
        <v>36479529.496031232</v>
      </c>
      <c r="J11" s="18">
        <f>J10*'Assumptions &amp; Inputs'!$E$31</f>
        <v>37573915.38091217</v>
      </c>
      <c r="K11" s="18">
        <f>K10*'Assumptions &amp; Inputs'!$E$31</f>
        <v>38701132.842339538</v>
      </c>
      <c r="L11" s="18">
        <f>L10*'Assumptions &amp; Inputs'!$E$31</f>
        <v>39862166.827609725</v>
      </c>
      <c r="M11" s="18">
        <f>M10*'Assumptions &amp; Inputs'!$E$31</f>
        <v>41058031.832438014</v>
      </c>
      <c r="N11" s="18">
        <f>N10*'Assumptions &amp; Inputs'!$E$31</f>
        <v>42289772.787411161</v>
      </c>
      <c r="O11" s="18">
        <f>O10*'Assumptions &amp; Inputs'!$E$31</f>
        <v>43135568.243159384</v>
      </c>
      <c r="P11" s="18">
        <f>P10*'Assumptions &amp; Inputs'!$E$31</f>
        <v>43998279.608022571</v>
      </c>
      <c r="Q11" s="18">
        <f>Q10*'Assumptions &amp; Inputs'!$E$31</f>
        <v>44878245.200183026</v>
      </c>
      <c r="R11" s="18">
        <f>R10*'Assumptions &amp; Inputs'!$E$31</f>
        <v>45775810.104186684</v>
      </c>
      <c r="S11" s="18">
        <f>S10*'Assumptions &amp; Inputs'!$E$31</f>
        <v>46691326.306270421</v>
      </c>
    </row>
    <row r="12" spans="1:19" ht="4.9000000000000004" customHeight="1" x14ac:dyDescent="0.35"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</row>
    <row r="13" spans="1:19" x14ac:dyDescent="0.35">
      <c r="B13" s="45" t="s">
        <v>79</v>
      </c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</row>
    <row r="14" spans="1:19" x14ac:dyDescent="0.35">
      <c r="B14" s="46" t="s">
        <v>77</v>
      </c>
      <c r="D14" s="16"/>
      <c r="E14" s="16">
        <f>E10*'Assumptions &amp; Inputs'!$E$37</f>
        <v>12473141.879999999</v>
      </c>
      <c r="F14" s="16">
        <f>F10*'Assumptions &amp; Inputs'!$E$37</f>
        <v>12972067.555199999</v>
      </c>
      <c r="G14" s="16">
        <f>G10*'Assumptions &amp; Inputs'!$E$37</f>
        <v>13490950.257408001</v>
      </c>
      <c r="H14" s="16">
        <f>H10*'Assumptions &amp; Inputs'!$E$37</f>
        <v>14030588.267704319</v>
      </c>
      <c r="I14" s="16">
        <f>I10*'Assumptions &amp; Inputs'!$E$37</f>
        <v>14591811.798412492</v>
      </c>
      <c r="J14" s="16">
        <f>J10*'Assumptions &amp; Inputs'!$E$37</f>
        <v>15029566.152364869</v>
      </c>
      <c r="K14" s="16">
        <f>K10*'Assumptions &amp; Inputs'!$E$37</f>
        <v>15480453.136935815</v>
      </c>
      <c r="L14" s="16">
        <f>L10*'Assumptions &amp; Inputs'!$E$37</f>
        <v>15944866.73104389</v>
      </c>
      <c r="M14" s="16">
        <f>M10*'Assumptions &amp; Inputs'!$E$37</f>
        <v>16423212.732975207</v>
      </c>
      <c r="N14" s="16">
        <f>N10*'Assumptions &amp; Inputs'!$E$37</f>
        <v>16915909.114964463</v>
      </c>
      <c r="O14" s="16">
        <f>O10*'Assumptions &amp; Inputs'!$E$37</f>
        <v>17254227.297263753</v>
      </c>
      <c r="P14" s="16">
        <f>P10*'Assumptions &amp; Inputs'!$E$37</f>
        <v>17599311.843209028</v>
      </c>
      <c r="Q14" s="16">
        <f>Q10*'Assumptions &amp; Inputs'!$E$37</f>
        <v>17951298.080073211</v>
      </c>
      <c r="R14" s="16">
        <f>R10*'Assumptions &amp; Inputs'!$E$37</f>
        <v>18310324.041674674</v>
      </c>
      <c r="S14" s="16">
        <f>S10*'Assumptions &amp; Inputs'!$E$37</f>
        <v>18676530.522508167</v>
      </c>
    </row>
    <row r="15" spans="1:19" ht="15" thickBot="1" x14ac:dyDescent="0.4">
      <c r="B15" s="46" t="s">
        <v>78</v>
      </c>
      <c r="D15" s="16"/>
      <c r="E15" s="16">
        <f>'Assumptions &amp; Inputs'!$E$38</f>
        <v>500000</v>
      </c>
      <c r="F15" s="16">
        <f>'Assumptions &amp; Inputs'!$E$38</f>
        <v>500000</v>
      </c>
      <c r="G15" s="16">
        <f>'Assumptions &amp; Inputs'!$E$38</f>
        <v>500000</v>
      </c>
      <c r="H15" s="16">
        <f>'Assumptions &amp; Inputs'!$E$38</f>
        <v>500000</v>
      </c>
      <c r="I15" s="16">
        <f>'Assumptions &amp; Inputs'!$E$38</f>
        <v>500000</v>
      </c>
      <c r="J15" s="16">
        <f>'Assumptions &amp; Inputs'!$E$38</f>
        <v>500000</v>
      </c>
      <c r="K15" s="16">
        <f>'Assumptions &amp; Inputs'!$E$38</f>
        <v>500000</v>
      </c>
      <c r="L15" s="16">
        <f>'Assumptions &amp; Inputs'!$E$38</f>
        <v>500000</v>
      </c>
      <c r="M15" s="16">
        <f>'Assumptions &amp; Inputs'!$E$38</f>
        <v>500000</v>
      </c>
      <c r="N15" s="16">
        <f>'Assumptions &amp; Inputs'!$E$38</f>
        <v>500000</v>
      </c>
      <c r="O15" s="16">
        <f>'Assumptions &amp; Inputs'!$E$38</f>
        <v>500000</v>
      </c>
      <c r="P15" s="16">
        <f>'Assumptions &amp; Inputs'!$E$38</f>
        <v>500000</v>
      </c>
      <c r="Q15" s="16">
        <f>'Assumptions &amp; Inputs'!$E$38</f>
        <v>500000</v>
      </c>
      <c r="R15" s="16">
        <f>'Assumptions &amp; Inputs'!$E$38</f>
        <v>500000</v>
      </c>
      <c r="S15" s="16">
        <f>'Assumptions &amp; Inputs'!$E$38</f>
        <v>500000</v>
      </c>
    </row>
    <row r="16" spans="1:19" x14ac:dyDescent="0.35">
      <c r="B16" s="13" t="s">
        <v>80</v>
      </c>
      <c r="C16" s="14"/>
      <c r="D16" s="17"/>
      <c r="E16" s="17">
        <f>SUM(E14:E15)</f>
        <v>12973141.879999999</v>
      </c>
      <c r="F16" s="17">
        <f t="shared" ref="F16:S16" si="0">SUM(F14:F15)</f>
        <v>13472067.555199999</v>
      </c>
      <c r="G16" s="17">
        <f t="shared" si="0"/>
        <v>13990950.257408001</v>
      </c>
      <c r="H16" s="17">
        <f t="shared" si="0"/>
        <v>14530588.267704319</v>
      </c>
      <c r="I16" s="17">
        <f t="shared" si="0"/>
        <v>15091811.798412492</v>
      </c>
      <c r="J16" s="17">
        <f t="shared" si="0"/>
        <v>15529566.152364869</v>
      </c>
      <c r="K16" s="17">
        <f t="shared" si="0"/>
        <v>15980453.136935815</v>
      </c>
      <c r="L16" s="17">
        <f t="shared" si="0"/>
        <v>16444866.73104389</v>
      </c>
      <c r="M16" s="17">
        <f t="shared" si="0"/>
        <v>16923212.732975207</v>
      </c>
      <c r="N16" s="17">
        <f t="shared" si="0"/>
        <v>17415909.114964463</v>
      </c>
      <c r="O16" s="13">
        <f t="shared" si="0"/>
        <v>17754227.297263753</v>
      </c>
      <c r="P16" s="14">
        <f t="shared" si="0"/>
        <v>18099311.843209028</v>
      </c>
      <c r="Q16" s="17">
        <f t="shared" si="0"/>
        <v>18451298.080073211</v>
      </c>
      <c r="R16" s="17">
        <f t="shared" si="0"/>
        <v>18810324.041674674</v>
      </c>
      <c r="S16" s="17">
        <f t="shared" si="0"/>
        <v>19176530.522508167</v>
      </c>
    </row>
    <row r="17" spans="2:19" ht="4.9000000000000004" customHeight="1" x14ac:dyDescent="0.35"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</row>
    <row r="18" spans="2:19" x14ac:dyDescent="0.35">
      <c r="B18" s="7" t="s">
        <v>0</v>
      </c>
      <c r="C18" s="8"/>
      <c r="D18" s="18"/>
      <c r="E18" s="18">
        <f>E11-E16</f>
        <v>18209712.819999997</v>
      </c>
      <c r="F18" s="18">
        <f t="shared" ref="F18:S18" si="1">F11-F16</f>
        <v>18958101.332800001</v>
      </c>
      <c r="G18" s="18">
        <f t="shared" si="1"/>
        <v>19736425.386111997</v>
      </c>
      <c r="H18" s="18">
        <f t="shared" si="1"/>
        <v>20545882.401556481</v>
      </c>
      <c r="I18" s="18">
        <f t="shared" si="1"/>
        <v>21387717.697618738</v>
      </c>
      <c r="J18" s="18">
        <f t="shared" si="1"/>
        <v>22044349.228547301</v>
      </c>
      <c r="K18" s="18">
        <f t="shared" si="1"/>
        <v>22720679.705403723</v>
      </c>
      <c r="L18" s="18">
        <f t="shared" si="1"/>
        <v>23417300.096565835</v>
      </c>
      <c r="M18" s="18">
        <f t="shared" si="1"/>
        <v>24134819.099462807</v>
      </c>
      <c r="N18" s="18">
        <f t="shared" si="1"/>
        <v>24873863.672446698</v>
      </c>
      <c r="O18" s="18">
        <f t="shared" si="1"/>
        <v>25381340.945895631</v>
      </c>
      <c r="P18" s="18">
        <f t="shared" si="1"/>
        <v>25898967.764813542</v>
      </c>
      <c r="Q18" s="18">
        <f t="shared" si="1"/>
        <v>26426947.120109815</v>
      </c>
      <c r="R18" s="18">
        <f t="shared" si="1"/>
        <v>26965486.06251201</v>
      </c>
      <c r="S18" s="18">
        <f t="shared" si="1"/>
        <v>27514795.783762254</v>
      </c>
    </row>
    <row r="19" spans="2:19" ht="4.9000000000000004" customHeight="1" x14ac:dyDescent="0.35"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</row>
    <row r="20" spans="2:19" x14ac:dyDescent="0.35">
      <c r="B20" s="45" t="s">
        <v>89</v>
      </c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</row>
    <row r="21" spans="2:19" x14ac:dyDescent="0.35">
      <c r="B21" s="47" t="s">
        <v>76</v>
      </c>
      <c r="D21" s="16"/>
      <c r="E21" s="16">
        <f>'Assumptions &amp; Inputs'!$E$17/'Assumptions &amp; Inputs'!$E$9</f>
        <v>1400000</v>
      </c>
      <c r="F21" s="16">
        <f>'Assumptions &amp; Inputs'!$E$17/'Assumptions &amp; Inputs'!$E$9</f>
        <v>1400000</v>
      </c>
      <c r="G21" s="16">
        <f>'Assumptions &amp; Inputs'!$E$17/'Assumptions &amp; Inputs'!$E$9</f>
        <v>1400000</v>
      </c>
      <c r="H21" s="16">
        <f>'Assumptions &amp; Inputs'!$E$17/'Assumptions &amp; Inputs'!$E$9</f>
        <v>1400000</v>
      </c>
      <c r="I21" s="16">
        <f>'Assumptions &amp; Inputs'!$E$17/'Assumptions &amp; Inputs'!$E$9</f>
        <v>1400000</v>
      </c>
      <c r="J21" s="16">
        <f>'Assumptions &amp; Inputs'!$E$17/'Assumptions &amp; Inputs'!$E$9</f>
        <v>1400000</v>
      </c>
      <c r="K21" s="16">
        <f>'Assumptions &amp; Inputs'!$E$17/'Assumptions &amp; Inputs'!$E$9</f>
        <v>1400000</v>
      </c>
      <c r="L21" s="16">
        <f>'Assumptions &amp; Inputs'!$E$17/'Assumptions &amp; Inputs'!$E$9</f>
        <v>1400000</v>
      </c>
      <c r="M21" s="16">
        <f>'Assumptions &amp; Inputs'!$E$17/'Assumptions &amp; Inputs'!$E$9</f>
        <v>1400000</v>
      </c>
      <c r="N21" s="16">
        <f>'Assumptions &amp; Inputs'!$E$17/'Assumptions &amp; Inputs'!$E$9</f>
        <v>1400000</v>
      </c>
      <c r="O21" s="16">
        <f>'Assumptions &amp; Inputs'!$E$17/'Assumptions &amp; Inputs'!$E$9</f>
        <v>1400000</v>
      </c>
      <c r="P21" s="16">
        <f>'Assumptions &amp; Inputs'!$E$17/'Assumptions &amp; Inputs'!$E$9</f>
        <v>1400000</v>
      </c>
      <c r="Q21" s="16">
        <f>'Assumptions &amp; Inputs'!$E$17/'Assumptions &amp; Inputs'!$E$9</f>
        <v>1400000</v>
      </c>
      <c r="R21" s="16">
        <f>'Assumptions &amp; Inputs'!$E$17/'Assumptions &amp; Inputs'!$E$9</f>
        <v>1400000</v>
      </c>
      <c r="S21" s="16">
        <f>'Assumptions &amp; Inputs'!$E$17/'Assumptions &amp; Inputs'!$E$9</f>
        <v>1400000</v>
      </c>
    </row>
    <row r="22" spans="2:19" ht="4.9000000000000004" customHeight="1" x14ac:dyDescent="0.35"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</row>
    <row r="23" spans="2:19" x14ac:dyDescent="0.35">
      <c r="B23" s="7" t="s">
        <v>72</v>
      </c>
      <c r="C23" s="8"/>
      <c r="D23" s="18"/>
      <c r="E23" s="18">
        <f>E18-E21</f>
        <v>16809712.819999997</v>
      </c>
      <c r="F23" s="18">
        <f t="shared" ref="F23:S23" si="2">F18-F21</f>
        <v>17558101.332800001</v>
      </c>
      <c r="G23" s="18">
        <f t="shared" si="2"/>
        <v>18336425.386111997</v>
      </c>
      <c r="H23" s="18">
        <f t="shared" si="2"/>
        <v>19145882.401556481</v>
      </c>
      <c r="I23" s="18">
        <f t="shared" si="2"/>
        <v>19987717.697618738</v>
      </c>
      <c r="J23" s="18">
        <f t="shared" si="2"/>
        <v>20644349.228547301</v>
      </c>
      <c r="K23" s="18">
        <f t="shared" si="2"/>
        <v>21320679.705403723</v>
      </c>
      <c r="L23" s="18">
        <f t="shared" si="2"/>
        <v>22017300.096565835</v>
      </c>
      <c r="M23" s="18">
        <f t="shared" si="2"/>
        <v>22734819.099462807</v>
      </c>
      <c r="N23" s="18">
        <f t="shared" si="2"/>
        <v>23473863.672446698</v>
      </c>
      <c r="O23" s="18">
        <f t="shared" si="2"/>
        <v>23981340.945895631</v>
      </c>
      <c r="P23" s="18">
        <f t="shared" si="2"/>
        <v>24498967.764813542</v>
      </c>
      <c r="Q23" s="18">
        <f t="shared" si="2"/>
        <v>25026947.120109815</v>
      </c>
      <c r="R23" s="18">
        <f t="shared" si="2"/>
        <v>25565486.06251201</v>
      </c>
      <c r="S23" s="18">
        <f t="shared" si="2"/>
        <v>26114795.783762254</v>
      </c>
    </row>
    <row r="24" spans="2:19" ht="4.9000000000000004" customHeight="1" x14ac:dyDescent="0.35"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</row>
    <row r="25" spans="2:19" x14ac:dyDescent="0.35">
      <c r="B25" s="45" t="s">
        <v>73</v>
      </c>
    </row>
    <row r="26" spans="2:19" x14ac:dyDescent="0.35">
      <c r="B26" s="47" t="s">
        <v>73</v>
      </c>
      <c r="D26" s="16"/>
      <c r="E26" s="16">
        <f>IF(E23&gt;0,E23*'Assumptions &amp; Inputs'!$E$11,0)</f>
        <v>4202428.2049999991</v>
      </c>
      <c r="F26" s="16">
        <f>IF(F23&gt;0,F23*'Assumptions &amp; Inputs'!$E$11,0)</f>
        <v>4389525.3332000002</v>
      </c>
      <c r="G26" s="16">
        <f>IF(G23&gt;0,G23*'Assumptions &amp; Inputs'!$E$11,0)</f>
        <v>4584106.3465279993</v>
      </c>
      <c r="H26" s="16">
        <f>IF(H23&gt;0,H23*'Assumptions &amp; Inputs'!$E$11,0)</f>
        <v>4786470.6003891202</v>
      </c>
      <c r="I26" s="16">
        <f>IF(I23&gt;0,I23*'Assumptions &amp; Inputs'!$E$11,0)</f>
        <v>4996929.4244046845</v>
      </c>
      <c r="J26" s="16">
        <f>IF(J23&gt;0,J23*'Assumptions &amp; Inputs'!$E$11,0)</f>
        <v>5161087.3071368253</v>
      </c>
      <c r="K26" s="16">
        <f>IF(K23&gt;0,K23*'Assumptions &amp; Inputs'!$E$11,0)</f>
        <v>5330169.9263509307</v>
      </c>
      <c r="L26" s="16">
        <f>IF(L23&gt;0,L23*'Assumptions &amp; Inputs'!$E$11,0)</f>
        <v>5504325.0241414588</v>
      </c>
      <c r="M26" s="16">
        <f>IF(M23&gt;0,M23*'Assumptions &amp; Inputs'!$E$11,0)</f>
        <v>5683704.7748657018</v>
      </c>
      <c r="N26" s="16">
        <f>IF(N23&gt;0,N23*'Assumptions &amp; Inputs'!$E$11,0)</f>
        <v>5868465.9181116745</v>
      </c>
      <c r="O26" s="16">
        <f>IF(O23&gt;0,O23*'Assumptions &amp; Inputs'!$E$11,0)</f>
        <v>5995335.2364739077</v>
      </c>
      <c r="P26" s="16">
        <f>IF(P23&gt;0,P23*'Assumptions &amp; Inputs'!$E$11,0)</f>
        <v>6124741.9412033856</v>
      </c>
      <c r="Q26" s="16">
        <f>IF(Q23&gt;0,Q23*'Assumptions &amp; Inputs'!$E$11,0)</f>
        <v>6256736.7800274538</v>
      </c>
      <c r="R26" s="16">
        <f>IF(R23&gt;0,R23*'Assumptions &amp; Inputs'!$E$11,0)</f>
        <v>6391371.5156280026</v>
      </c>
      <c r="S26" s="16">
        <f>IF(S23&gt;0,S23*'Assumptions &amp; Inputs'!$E$11,0)</f>
        <v>6528698.9459405635</v>
      </c>
    </row>
    <row r="27" spans="2:19" ht="4.9000000000000004" customHeight="1" x14ac:dyDescent="0.35"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</row>
    <row r="28" spans="2:19" x14ac:dyDescent="0.35">
      <c r="B28" s="7" t="s">
        <v>74</v>
      </c>
      <c r="C28" s="8"/>
      <c r="D28" s="18"/>
      <c r="E28" s="18">
        <f t="shared" ref="E28:S28" si="3">E23-E26</f>
        <v>12607284.614999998</v>
      </c>
      <c r="F28" s="18">
        <f t="shared" si="3"/>
        <v>13168575.999600001</v>
      </c>
      <c r="G28" s="18">
        <f t="shared" si="3"/>
        <v>13752319.039583998</v>
      </c>
      <c r="H28" s="18">
        <f t="shared" si="3"/>
        <v>14359411.801167361</v>
      </c>
      <c r="I28" s="18">
        <f t="shared" si="3"/>
        <v>14990788.273214053</v>
      </c>
      <c r="J28" s="18">
        <f t="shared" si="3"/>
        <v>15483261.921410475</v>
      </c>
      <c r="K28" s="18">
        <f t="shared" si="3"/>
        <v>15990509.779052792</v>
      </c>
      <c r="L28" s="18">
        <f t="shared" si="3"/>
        <v>16512975.072424376</v>
      </c>
      <c r="M28" s="18">
        <f t="shared" si="3"/>
        <v>17051114.324597105</v>
      </c>
      <c r="N28" s="18">
        <f t="shared" si="3"/>
        <v>17605397.754335023</v>
      </c>
      <c r="O28" s="18">
        <f t="shared" si="3"/>
        <v>17986005.709421724</v>
      </c>
      <c r="P28" s="18">
        <f t="shared" si="3"/>
        <v>18374225.823610157</v>
      </c>
      <c r="Q28" s="18">
        <f t="shared" si="3"/>
        <v>18770210.340082362</v>
      </c>
      <c r="R28" s="18">
        <f t="shared" si="3"/>
        <v>19174114.546884008</v>
      </c>
      <c r="S28" s="18">
        <f t="shared" si="3"/>
        <v>19586096.837821692</v>
      </c>
    </row>
    <row r="29" spans="2:19" ht="4.9000000000000004" customHeight="1" x14ac:dyDescent="0.35"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</row>
    <row r="30" spans="2:19" x14ac:dyDescent="0.35">
      <c r="B30" s="45" t="s">
        <v>3</v>
      </c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</row>
    <row r="31" spans="2:19" x14ac:dyDescent="0.35">
      <c r="B31" s="46" t="s">
        <v>2</v>
      </c>
      <c r="D31" s="16">
        <f>-'Assumptions &amp; Inputs'!E17</f>
        <v>-21000000</v>
      </c>
      <c r="E31" s="16"/>
      <c r="F31" s="16"/>
      <c r="G31" s="16"/>
      <c r="H31" s="16"/>
      <c r="I31" s="16"/>
      <c r="J31" s="15"/>
      <c r="K31" s="15"/>
      <c r="L31" s="15"/>
      <c r="M31" s="15"/>
      <c r="N31" s="15"/>
      <c r="O31" s="15"/>
      <c r="P31" s="15"/>
      <c r="Q31" s="15"/>
      <c r="R31" s="15"/>
      <c r="S31" s="15"/>
    </row>
    <row r="32" spans="2:19" ht="4.9000000000000004" customHeight="1" x14ac:dyDescent="0.35"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</row>
    <row r="33" spans="2:19" x14ac:dyDescent="0.35">
      <c r="B33" s="9" t="s">
        <v>75</v>
      </c>
      <c r="C33" s="3"/>
      <c r="D33" s="19">
        <f>D31</f>
        <v>-21000000</v>
      </c>
      <c r="E33" s="19">
        <f>E28+E21</f>
        <v>14007284.614999998</v>
      </c>
      <c r="F33" s="19">
        <f t="shared" ref="F33:S33" si="4">F28+F21</f>
        <v>14568575.999600001</v>
      </c>
      <c r="G33" s="19">
        <f t="shared" si="4"/>
        <v>15152319.039583998</v>
      </c>
      <c r="H33" s="19">
        <f t="shared" si="4"/>
        <v>15759411.801167361</v>
      </c>
      <c r="I33" s="19">
        <f t="shared" si="4"/>
        <v>16390788.273214053</v>
      </c>
      <c r="J33" s="19">
        <f t="shared" si="4"/>
        <v>16883261.921410475</v>
      </c>
      <c r="K33" s="19">
        <f t="shared" si="4"/>
        <v>17390509.779052794</v>
      </c>
      <c r="L33" s="19">
        <f t="shared" si="4"/>
        <v>17912975.072424375</v>
      </c>
      <c r="M33" s="19">
        <f t="shared" si="4"/>
        <v>18451114.324597105</v>
      </c>
      <c r="N33" s="19">
        <f t="shared" si="4"/>
        <v>19005397.754335023</v>
      </c>
      <c r="O33" s="19">
        <f t="shared" si="4"/>
        <v>19386005.709421724</v>
      </c>
      <c r="P33" s="19">
        <f t="shared" si="4"/>
        <v>19774225.823610157</v>
      </c>
      <c r="Q33" s="19">
        <f t="shared" si="4"/>
        <v>20170210.340082362</v>
      </c>
      <c r="R33" s="19">
        <f t="shared" si="4"/>
        <v>20574114.546884008</v>
      </c>
      <c r="S33" s="19">
        <f t="shared" si="4"/>
        <v>20986096.837821692</v>
      </c>
    </row>
    <row r="35" spans="2:19" x14ac:dyDescent="0.35">
      <c r="D35" s="20"/>
      <c r="E35" s="20"/>
      <c r="F35" s="20"/>
      <c r="G35" s="20"/>
      <c r="H35" s="20"/>
      <c r="I35" s="20"/>
    </row>
    <row r="36" spans="2:19" x14ac:dyDescent="0.35">
      <c r="B36" s="48" t="s">
        <v>4</v>
      </c>
      <c r="C36" s="21"/>
      <c r="D36" s="50" t="str">
        <f>D5</f>
        <v>Year 0</v>
      </c>
      <c r="E36" s="50" t="str">
        <f>E5</f>
        <v>Year 1</v>
      </c>
      <c r="F36" s="50" t="str">
        <f t="shared" ref="F36:S36" si="5">F5</f>
        <v>Year 2</v>
      </c>
      <c r="G36" s="50" t="str">
        <f t="shared" si="5"/>
        <v>Year 3</v>
      </c>
      <c r="H36" s="50" t="str">
        <f t="shared" si="5"/>
        <v>Year 4</v>
      </c>
      <c r="I36" s="50" t="str">
        <f t="shared" si="5"/>
        <v>Year 5</v>
      </c>
      <c r="J36" s="50" t="str">
        <f t="shared" si="5"/>
        <v>Year 6</v>
      </c>
      <c r="K36" s="50" t="str">
        <f t="shared" si="5"/>
        <v>Year 7</v>
      </c>
      <c r="L36" s="50" t="str">
        <f t="shared" si="5"/>
        <v>Year 8</v>
      </c>
      <c r="M36" s="50" t="str">
        <f t="shared" si="5"/>
        <v>Year 9</v>
      </c>
      <c r="N36" s="50" t="str">
        <f t="shared" si="5"/>
        <v>Year 10</v>
      </c>
      <c r="O36" s="50" t="str">
        <f t="shared" si="5"/>
        <v>Year 11</v>
      </c>
      <c r="P36" s="50" t="str">
        <f t="shared" si="5"/>
        <v>Year 12</v>
      </c>
      <c r="Q36" s="50" t="str">
        <f t="shared" si="5"/>
        <v>Year 13</v>
      </c>
      <c r="R36" s="50" t="str">
        <f t="shared" si="5"/>
        <v>Year 14</v>
      </c>
      <c r="S36" s="50" t="str">
        <f t="shared" si="5"/>
        <v>Year 15</v>
      </c>
    </row>
    <row r="37" spans="2:19" ht="4.9000000000000004" customHeight="1" x14ac:dyDescent="0.35"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</row>
    <row r="38" spans="2:19" x14ac:dyDescent="0.35">
      <c r="B38" t="s">
        <v>81</v>
      </c>
      <c r="D38" s="51">
        <f>NPV('Assumptions &amp; Inputs'!E48,'DCF Model'!E33:S33)+'DCF Model'!D33</f>
        <v>128354589.83358631</v>
      </c>
    </row>
    <row r="39" spans="2:19" x14ac:dyDescent="0.35">
      <c r="B39" t="s">
        <v>82</v>
      </c>
      <c r="D39" s="20">
        <f>IRR(D33:S33)</f>
        <v>0.70527526200919244</v>
      </c>
    </row>
    <row r="40" spans="2:19" ht="4.9000000000000004" customHeight="1" x14ac:dyDescent="0.35"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</row>
    <row r="41" spans="2:19" x14ac:dyDescent="0.35">
      <c r="B41" s="45" t="s">
        <v>83</v>
      </c>
      <c r="D41" s="20"/>
    </row>
    <row r="42" spans="2:19" x14ac:dyDescent="0.35">
      <c r="B42" t="s">
        <v>84</v>
      </c>
      <c r="D42" s="15">
        <f>D33</f>
        <v>-21000000</v>
      </c>
      <c r="E42" s="15">
        <f>D33+E33</f>
        <v>-6992715.3850000016</v>
      </c>
      <c r="F42" s="15">
        <f t="shared" ref="F42:S42" si="6">E33+F33</f>
        <v>28575860.614599999</v>
      </c>
      <c r="G42" s="15">
        <f t="shared" si="6"/>
        <v>29720895.039183997</v>
      </c>
      <c r="H42" s="15">
        <f t="shared" si="6"/>
        <v>30911730.840751357</v>
      </c>
      <c r="I42" s="15">
        <f t="shared" si="6"/>
        <v>32150200.074381415</v>
      </c>
      <c r="J42" s="15">
        <f t="shared" si="6"/>
        <v>33274050.194624528</v>
      </c>
      <c r="K42" s="15">
        <f t="shared" si="6"/>
        <v>34273771.700463265</v>
      </c>
      <c r="L42" s="15">
        <f t="shared" si="6"/>
        <v>35303484.851477169</v>
      </c>
      <c r="M42" s="15">
        <f t="shared" si="6"/>
        <v>36364089.39702148</v>
      </c>
      <c r="N42" s="15">
        <f t="shared" si="6"/>
        <v>37456512.078932129</v>
      </c>
      <c r="O42" s="15">
        <f t="shared" si="6"/>
        <v>38391403.463756748</v>
      </c>
      <c r="P42" s="15">
        <f t="shared" si="6"/>
        <v>39160231.533031881</v>
      </c>
      <c r="Q42" s="15">
        <f t="shared" si="6"/>
        <v>39944436.163692519</v>
      </c>
      <c r="R42" s="15">
        <f t="shared" si="6"/>
        <v>40744324.88696637</v>
      </c>
      <c r="S42" s="15">
        <f t="shared" si="6"/>
        <v>41560211.3847057</v>
      </c>
    </row>
    <row r="44" spans="2:19" x14ac:dyDescent="0.35">
      <c r="B44" s="48" t="s">
        <v>85</v>
      </c>
      <c r="C44" s="21"/>
      <c r="D44" s="21"/>
      <c r="E44" s="22"/>
      <c r="F44" s="22"/>
      <c r="G44" s="22"/>
      <c r="H44" s="22"/>
      <c r="I44" s="22"/>
      <c r="J44" s="21"/>
      <c r="K44" s="21"/>
      <c r="L44" s="21"/>
      <c r="M44" s="21"/>
      <c r="N44" s="21"/>
      <c r="O44" s="21"/>
      <c r="P44" s="21"/>
      <c r="Q44" s="21"/>
      <c r="R44" s="21"/>
      <c r="S44" s="21"/>
    </row>
    <row r="48" spans="2:19" x14ac:dyDescent="0.35"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</row>
    <row r="50" spans="4:4" x14ac:dyDescent="0.35">
      <c r="D50" s="20"/>
    </row>
  </sheetData>
  <phoneticPr fontId="11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Capital Budgeting &gt; &gt;</vt:lpstr>
      <vt:lpstr>Assumptions &amp; Inputs</vt:lpstr>
      <vt:lpstr>DCF 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2025-06-24T08:38:11Z</dcterms:created>
  <dcterms:modified xsi:type="dcterms:W3CDTF">2025-07-05T10:09:48Z</dcterms:modified>
</cp:coreProperties>
</file>